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765" windowWidth="18195" windowHeight="1125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182" i="2" l="1"/>
  <c r="D140" i="2"/>
  <c r="D148" i="2"/>
  <c r="F167" i="2"/>
  <c r="F146" i="2"/>
  <c r="F147" i="2"/>
  <c r="F148" i="2"/>
  <c r="F149" i="2"/>
  <c r="D22" i="2" l="1"/>
  <c r="C8" i="2"/>
  <c r="D175" i="2" l="1"/>
  <c r="D171" i="2"/>
  <c r="D170" i="2"/>
  <c r="D167" i="2"/>
  <c r="D162" i="2"/>
  <c r="D161" i="2"/>
  <c r="D157" i="2"/>
  <c r="D152" i="2"/>
  <c r="D151" i="2"/>
  <c r="D150" i="2"/>
  <c r="D149" i="2"/>
  <c r="D142" i="2"/>
  <c r="D138" i="2"/>
  <c r="D137" i="2"/>
  <c r="D135" i="2"/>
  <c r="D134" i="2"/>
  <c r="D133" i="2"/>
  <c r="D132" i="2"/>
  <c r="D127" i="2"/>
  <c r="D125" i="2"/>
  <c r="D123" i="2"/>
  <c r="D122" i="2"/>
  <c r="D119" i="2"/>
  <c r="D117" i="2"/>
  <c r="D116" i="2"/>
  <c r="D114" i="2"/>
  <c r="D113" i="2"/>
  <c r="D106" i="2"/>
  <c r="D104" i="2"/>
  <c r="D102" i="2"/>
  <c r="D100" i="2"/>
  <c r="D99" i="2"/>
  <c r="D98" i="2"/>
  <c r="D95" i="2"/>
  <c r="D94" i="2" l="1"/>
  <c r="D89" i="2"/>
  <c r="D88" i="2"/>
  <c r="D86" i="2"/>
  <c r="D85" i="2"/>
  <c r="D84" i="2"/>
  <c r="D83" i="2"/>
  <c r="D82" i="2"/>
  <c r="D80" i="2"/>
  <c r="D79" i="2"/>
  <c r="D78" i="2"/>
  <c r="D75" i="2"/>
  <c r="D74" i="2"/>
  <c r="D73" i="2"/>
  <c r="D72" i="2"/>
  <c r="D71" i="2"/>
  <c r="D70" i="2"/>
  <c r="D69" i="2"/>
  <c r="D68" i="2"/>
  <c r="D67" i="2"/>
  <c r="D66" i="2"/>
  <c r="D65" i="2"/>
  <c r="D62" i="2"/>
  <c r="D61" i="2"/>
  <c r="D58" i="2"/>
  <c r="D53" i="2"/>
  <c r="D48" i="2"/>
  <c r="D46" i="2"/>
  <c r="D44" i="2"/>
  <c r="D43" i="2"/>
  <c r="D39" i="2"/>
  <c r="D38" i="2"/>
  <c r="D37" i="2"/>
  <c r="D35" i="2"/>
  <c r="D33" i="2"/>
  <c r="D31" i="2"/>
  <c r="D30" i="2"/>
  <c r="D28" i="2"/>
  <c r="D26" i="2"/>
  <c r="D25" i="2"/>
  <c r="D24" i="2"/>
  <c r="D23" i="2"/>
  <c r="D21" i="2"/>
  <c r="D20" i="2"/>
  <c r="D18" i="2"/>
  <c r="D17" i="2"/>
  <c r="D16" i="2"/>
  <c r="D14" i="2"/>
  <c r="D12" i="2"/>
  <c r="D10" i="2"/>
  <c r="D9" i="2"/>
  <c r="F168" i="2" l="1"/>
  <c r="F174" i="2"/>
  <c r="F175" i="2"/>
  <c r="C182" i="2"/>
  <c r="F171" i="2" l="1"/>
  <c r="D164" i="2"/>
  <c r="F164" i="2" s="1"/>
  <c r="F162" i="2"/>
  <c r="F161" i="2"/>
  <c r="F157" i="2"/>
  <c r="D155" i="2"/>
  <c r="D131" i="2"/>
  <c r="D130" i="2"/>
  <c r="D126" i="2"/>
  <c r="D118" i="2"/>
  <c r="D107" i="2"/>
  <c r="D92" i="2"/>
  <c r="D90" i="2"/>
  <c r="D76" i="2"/>
  <c r="D59" i="2" l="1"/>
  <c r="D34" i="2" l="1"/>
  <c r="D145" i="2" l="1"/>
  <c r="D109" i="2"/>
  <c r="D173" i="2"/>
  <c r="F173" i="2" s="1"/>
  <c r="D172" i="2"/>
  <c r="F172" i="2" s="1"/>
  <c r="F170" i="2"/>
  <c r="D169" i="2"/>
  <c r="F169" i="2" s="1"/>
  <c r="D166" i="2"/>
  <c r="F166" i="2" s="1"/>
  <c r="D165" i="2"/>
  <c r="F165" i="2" s="1"/>
  <c r="D163" i="2"/>
  <c r="F163" i="2" s="1"/>
  <c r="D160" i="2"/>
  <c r="F160" i="2" s="1"/>
  <c r="D159" i="2"/>
  <c r="F159" i="2" s="1"/>
  <c r="D158" i="2"/>
  <c r="F158" i="2" s="1"/>
  <c r="D156" i="2"/>
  <c r="F156" i="2" s="1"/>
  <c r="D154" i="2"/>
  <c r="D153" i="2"/>
  <c r="D146" i="2"/>
  <c r="D144" i="2"/>
  <c r="D143" i="2"/>
  <c r="D141" i="2"/>
  <c r="D139" i="2"/>
  <c r="D136" i="2"/>
  <c r="D129" i="2"/>
  <c r="D128" i="2"/>
  <c r="D124" i="2"/>
  <c r="D121" i="2"/>
  <c r="D115" i="2"/>
  <c r="D112" i="2"/>
  <c r="D111" i="2"/>
  <c r="D110" i="2"/>
  <c r="D108" i="2"/>
  <c r="D105" i="2"/>
  <c r="D103" i="2"/>
  <c r="D101" i="2"/>
  <c r="D52" i="2" l="1"/>
  <c r="D50" i="2"/>
  <c r="D49" i="2"/>
  <c r="D47" i="2"/>
  <c r="D40" i="2"/>
  <c r="D36" i="2"/>
  <c r="D19" i="2" l="1"/>
  <c r="D15" i="2"/>
  <c r="D13" i="2"/>
  <c r="D11" i="2"/>
  <c r="D8" i="2"/>
  <c r="D27" i="2" l="1"/>
  <c r="F27" i="2" l="1"/>
  <c r="F18" i="2" l="1"/>
  <c r="F23" i="2"/>
  <c r="F31" i="2"/>
  <c r="F35" i="2"/>
  <c r="F36" i="2"/>
  <c r="F40" i="2"/>
  <c r="F46" i="2"/>
  <c r="F48" i="2"/>
  <c r="F52" i="2"/>
  <c r="F54" i="2"/>
  <c r="F61" i="2"/>
  <c r="F75" i="2"/>
  <c r="F82" i="2"/>
  <c r="F90" i="2"/>
  <c r="F92" i="2"/>
  <c r="F96" i="2"/>
  <c r="F109" i="2"/>
  <c r="F110" i="2"/>
  <c r="F117" i="2"/>
  <c r="F120" i="2"/>
  <c r="F126" i="2"/>
  <c r="F135" i="2"/>
  <c r="F137" i="2"/>
  <c r="F138" i="2"/>
  <c r="F139" i="2"/>
  <c r="F140" i="2"/>
  <c r="F143" i="2"/>
  <c r="F145" i="2"/>
  <c r="F150" i="2"/>
  <c r="F153" i="2"/>
  <c r="F154" i="2"/>
  <c r="F9" i="2"/>
  <c r="F53" i="2" l="1"/>
  <c r="F155" i="2"/>
  <c r="F152" i="2"/>
  <c r="F151" i="2"/>
  <c r="F144" i="2"/>
  <c r="F142" i="2"/>
  <c r="F141" i="2"/>
  <c r="F136" i="2"/>
  <c r="F134" i="2"/>
  <c r="F133" i="2"/>
  <c r="F132" i="2"/>
  <c r="F131" i="2"/>
  <c r="F130" i="2"/>
  <c r="F129" i="2"/>
  <c r="F128" i="2"/>
  <c r="F127" i="2"/>
  <c r="F125" i="2"/>
  <c r="F124" i="2"/>
  <c r="F123" i="2"/>
  <c r="F122" i="2"/>
  <c r="F121" i="2"/>
  <c r="F119" i="2"/>
  <c r="F118" i="2"/>
  <c r="F116" i="2"/>
  <c r="F115" i="2"/>
  <c r="F114" i="2"/>
  <c r="F113" i="2"/>
  <c r="F112" i="2"/>
  <c r="F111" i="2"/>
  <c r="F108" i="2"/>
  <c r="F107" i="2"/>
  <c r="F106" i="2"/>
  <c r="F105" i="2"/>
  <c r="F104" i="2"/>
  <c r="F103" i="2"/>
  <c r="F102" i="2"/>
  <c r="F101" i="2"/>
  <c r="F100" i="2"/>
  <c r="F99" i="2"/>
  <c r="F98" i="2"/>
  <c r="D97" i="2"/>
  <c r="F97" i="2" s="1"/>
  <c r="F95" i="2"/>
  <c r="F94" i="2"/>
  <c r="D93" i="2"/>
  <c r="F93" i="2" s="1"/>
  <c r="D91" i="2"/>
  <c r="F91" i="2" s="1"/>
  <c r="F89" i="2"/>
  <c r="F88" i="2"/>
  <c r="D87" i="2"/>
  <c r="F87" i="2" s="1"/>
  <c r="F86" i="2"/>
  <c r="F85" i="2"/>
  <c r="F84" i="2" l="1"/>
  <c r="F83" i="2"/>
  <c r="D81" i="2"/>
  <c r="F81" i="2" s="1"/>
  <c r="F80" i="2"/>
  <c r="F79" i="2"/>
  <c r="F78" i="2"/>
  <c r="D77" i="2"/>
  <c r="F77" i="2" s="1"/>
  <c r="F76" i="2"/>
  <c r="F74" i="2"/>
  <c r="F73" i="2"/>
  <c r="F72" i="2"/>
  <c r="F71" i="2"/>
  <c r="F70" i="2"/>
  <c r="F69" i="2"/>
  <c r="F68" i="2"/>
  <c r="F67" i="2"/>
  <c r="F66" i="2"/>
  <c r="F65" i="2"/>
  <c r="D64" i="2"/>
  <c r="F64" i="2" s="1"/>
  <c r="D63" i="2"/>
  <c r="F63" i="2" s="1"/>
  <c r="F62" i="2"/>
  <c r="D60" i="2"/>
  <c r="F60" i="2" s="1"/>
  <c r="F59" i="2"/>
  <c r="F58" i="2"/>
  <c r="D57" i="2"/>
  <c r="F57" i="2" s="1"/>
  <c r="D56" i="2"/>
  <c r="F56" i="2" s="1"/>
  <c r="D55" i="2"/>
  <c r="F55" i="2" s="1"/>
  <c r="D51" i="2"/>
  <c r="F51" i="2" s="1"/>
  <c r="F50" i="2"/>
  <c r="F49" i="2"/>
  <c r="F47" i="2"/>
  <c r="D45" i="2"/>
  <c r="F45" i="2" s="1"/>
  <c r="F44" i="2"/>
  <c r="F43" i="2"/>
  <c r="D42" i="2"/>
  <c r="F42" i="2" s="1"/>
  <c r="D41" i="2"/>
  <c r="F41" i="2" s="1"/>
  <c r="F39" i="2"/>
  <c r="F38" i="2"/>
  <c r="F37" i="2"/>
  <c r="F34" i="2"/>
  <c r="F33" i="2"/>
  <c r="D32" i="2"/>
  <c r="F32" i="2" s="1"/>
  <c r="F30" i="2"/>
  <c r="D29" i="2"/>
  <c r="F26" i="2"/>
  <c r="F25" i="2"/>
  <c r="F24" i="2"/>
  <c r="F22" i="2"/>
  <c r="F21" i="2"/>
  <c r="F20" i="2"/>
  <c r="F19" i="2"/>
  <c r="F29" i="2" l="1"/>
  <c r="D182" i="2"/>
  <c r="F182" i="2" s="1"/>
  <c r="F28" i="2"/>
  <c r="F17" i="2"/>
  <c r="F16" i="2"/>
  <c r="F15" i="2"/>
  <c r="F14" i="2"/>
  <c r="F13" i="2"/>
  <c r="F12" i="2"/>
  <c r="F11" i="2"/>
  <c r="F10" i="2"/>
  <c r="F8" i="2" l="1"/>
</calcChain>
</file>

<file path=xl/sharedStrings.xml><?xml version="1.0" encoding="utf-8"?>
<sst xmlns="http://schemas.openxmlformats.org/spreadsheetml/2006/main" count="356" uniqueCount="356">
  <si>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</si>
  <si>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</si>
  <si>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</si>
  <si>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</si>
  <si>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</si>
  <si>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01-П-2009</t>
  </si>
  <si>
    <t>СРО-П-002-22042009</t>
  </si>
  <si>
    <t>СРО-П-003-18052009</t>
  </si>
  <si>
    <t>СРО-П-004-19052009</t>
  </si>
  <si>
    <t>Ассоциация "Саморегулируемая организация "Белгородское сообщество проектных организаций"</t>
  </si>
  <si>
    <t>СРО-П-005-21052009</t>
  </si>
  <si>
    <t>СРО-П-006-28052009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</si>
  <si>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</si>
  <si>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</si>
  <si>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</si>
  <si>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СРО-П-010-30062009</t>
  </si>
  <si>
    <t>Ассоциация в области архитектурно-строительного проектирования "Саморегулируемая организация "СОВЕТ ПРОЕКТИРОВЩИКОВ"</t>
  </si>
  <si>
    <t>СРО-П-011-16072009</t>
  </si>
  <si>
    <t>Ассоциация проектных организаций «Союзпетрострой-Проект»</t>
  </si>
  <si>
    <t>СРО-П-012-06072009</t>
  </si>
  <si>
    <t>Саморегулируемая организация – Союз Центральное объединение проектных организаций «ПРОЕКТЦЕНТР»</t>
  </si>
  <si>
    <t>СРО-П-013-15072009</t>
  </si>
  <si>
    <t>СРО-П-014-05082009</t>
  </si>
  <si>
    <t>Саморегулируемая организация Ассоциация «Объединение проектировщиков Черноземья»</t>
  </si>
  <si>
    <t>СРО-П-015-11082009</t>
  </si>
  <si>
    <t>Ассоциация "Саморегулируемая организация "Проектировщики Северо-Запада"</t>
  </si>
  <si>
    <t>СРО-П-016-12082009</t>
  </si>
  <si>
    <t>СРО-П-017-14082009</t>
  </si>
  <si>
    <t>СРО-П-018-19082009</t>
  </si>
  <si>
    <t>СРО-П-019-26082009</t>
  </si>
  <si>
    <t>Саморегулируемая организация «Союз проектировщиков Югры»</t>
  </si>
  <si>
    <t>СРО-П-020-26082009</t>
  </si>
  <si>
    <t>Ассоциация «Объединение градостроительного планирования и проектирования»</t>
  </si>
  <si>
    <t>СРО-П-021-28082009</t>
  </si>
  <si>
    <t>СРО-П-022-03092009</t>
  </si>
  <si>
    <t>СРО-П-023-10092009</t>
  </si>
  <si>
    <t>СРО-П-024-14092009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</si>
  <si>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</si>
  <si>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СРО-П-025-15092009</t>
  </si>
  <si>
    <t xml:space="preserve">Некоммерческое партнерство саморегулируемая организация проектировщиков «Западная Сибирь» </t>
  </si>
  <si>
    <t>СРО-П-026-17092009</t>
  </si>
  <si>
    <t>СРО-П-027-18092009</t>
  </si>
  <si>
    <t>СРО-П-028-24092009</t>
  </si>
  <si>
    <t>СРО-П-029-25092009</t>
  </si>
  <si>
    <t>СРО-П-030-28092009</t>
  </si>
  <si>
    <t>Саморегулируемая организация Ассоциация «Объединение проектировщиков»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</si>
  <si>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</si>
  <si>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</si>
  <si>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</si>
  <si>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</si>
  <si>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</si>
  <si>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</si>
  <si>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СРО-П-038-28102009</t>
  </si>
  <si>
    <t>СРО-П-039-30102009</t>
  </si>
  <si>
    <t>СРО-П-040-03112009</t>
  </si>
  <si>
    <t>СРО-П-042-05112009</t>
  </si>
  <si>
    <t>СРО-П-043-06112009</t>
  </si>
  <si>
    <t>Некоммерческое партнерство "Проектные организации Северо-Запада"</t>
  </si>
  <si>
    <t>СРО-П-044-09112009</t>
  </si>
  <si>
    <t>СРО-П-045-09112009</t>
  </si>
  <si>
    <t>Ассоциация «Байкальское региональное объединение проектировщиков»</t>
  </si>
  <si>
    <t>СРО-П-046-09112009</t>
  </si>
  <si>
    <t>СРО-П-047-09112009</t>
  </si>
  <si>
    <t>СРО-П-048-09112009</t>
  </si>
  <si>
    <t>СРО-П-049-09112009</t>
  </si>
  <si>
    <t>СРО-П-050-09112009</t>
  </si>
  <si>
    <t>Ассоциация «Гильдия проектировщиков Сибири»</t>
  </si>
  <si>
    <t>СРО-П-051-11112009</t>
  </si>
  <si>
    <t>СРО-П-052-11112009</t>
  </si>
  <si>
    <t>СРО-П-053-16112009</t>
  </si>
  <si>
    <t>СРО-П-054-16112009</t>
  </si>
  <si>
    <t>Ассоциация саморегулируемая организация "Гильдия проектировщиков Новгородской области"</t>
  </si>
  <si>
    <t>СРО-П-056-16112009</t>
  </si>
  <si>
    <t>Ассоциация СРО «Северо-Западный Альянс Проектировщиков»</t>
  </si>
  <si>
    <t>СРО-П-057-17112009</t>
  </si>
  <si>
    <t>СРО-П-058-19112009</t>
  </si>
  <si>
    <t>СРО-П-059-20112009</t>
  </si>
  <si>
    <t>СРО-П-060-20112009</t>
  </si>
  <si>
    <t>СРО-П-061-20112009</t>
  </si>
  <si>
    <t>Ассоциация "Саморегулируемая организация "Кузбасский проектно-научный центр"</t>
  </si>
  <si>
    <t>СРО-П-062-20112009</t>
  </si>
  <si>
    <t>СРО-П-063-26112009</t>
  </si>
  <si>
    <t>СРО-П-064-30112009</t>
  </si>
  <si>
    <t>СРО-П-065-30112009</t>
  </si>
  <si>
    <t>СРО-П-066-30112009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</si>
  <si>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</si>
  <si>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</si>
  <si>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</si>
  <si>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</si>
  <si>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</si>
  <si>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</si>
  <si>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</si>
  <si>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</si>
  <si>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</si>
  <si>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Союз дорожных проектных организаций «РОДОС»</t>
  </si>
  <si>
    <t>СРО-П-077-11122009</t>
  </si>
  <si>
    <t>Ассоциация "Саморегулируемая организация "ВГАСУ - Межрегиональное объединение организаций в системе проектирования"</t>
  </si>
  <si>
    <t>СРО-П-078-14122009</t>
  </si>
  <si>
    <t>Ассоциация саморегулируемая организация "Верхне-Волжское проектно-строительное объединение"</t>
  </si>
  <si>
    <t>СРО-П-079-14122009</t>
  </si>
  <si>
    <t>СРО-П-080-14122009</t>
  </si>
  <si>
    <t>СРО-П-081-14122009</t>
  </si>
  <si>
    <t>СРО-П-082-14122009</t>
  </si>
  <si>
    <t>СРО-П-083-14122009</t>
  </si>
  <si>
    <t>Ассоциация Проектных строительных организаций "ЭнергоТеплоМеталлургПроект"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</si>
  <si>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</si>
  <si>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</si>
  <si>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</si>
  <si>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</si>
  <si>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</si>
  <si>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</si>
  <si>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Ассоциация Саморегулируемая организация «Северный проектировщик»</t>
  </si>
  <si>
    <t>СРО-П-090-17122009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</si>
  <si>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</si>
  <si>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</si>
  <si>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</si>
  <si>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</si>
  <si>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</si>
  <si>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</si>
  <si>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</si>
  <si>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</si>
  <si>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</si>
  <si>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</si>
  <si>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Саморегулируемая организация Ассоциация «Союз Проектировщиков Верхней Волги»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</si>
  <si>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</si>
  <si>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</si>
  <si>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</si>
  <si>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</si>
  <si>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</si>
  <si>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</si>
  <si>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</si>
  <si>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</si>
  <si>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Саморегулируемая организация "Союз Проектировщиков"</t>
  </si>
  <si>
    <t>СРО-П-111-11012010</t>
  </si>
  <si>
    <t>Саморегулируемая организация Союз "Проектные организации Урала"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</si>
  <si>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</si>
  <si>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</si>
  <si>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</si>
  <si>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</si>
  <si>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</si>
  <si>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</si>
  <si>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СРО-П-119-18012010</t>
  </si>
  <si>
    <t>СРО-П-120-18012010</t>
  </si>
  <si>
    <t>Саморегулируемая организация Ассоциация проектных организаций "ПроектСтройСтандарт"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</si>
  <si>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</si>
  <si>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</si>
  <si>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</si>
  <si>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</si>
  <si>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</si>
  <si>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</si>
  <si>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</si>
  <si>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</si>
  <si>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</si>
  <si>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</si>
  <si>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СРО-П-132-01022010</t>
  </si>
  <si>
    <t>СРО-П-133-01022010</t>
  </si>
  <si>
    <t>Саморегулируемая организация Союз «Проектировщики Северного Кавказа»</t>
  </si>
  <si>
    <t>СРО-П-135-15022010</t>
  </si>
  <si>
    <t>СРО-П-136-16022010</t>
  </si>
  <si>
    <t>СРО-П-137-18022010</t>
  </si>
  <si>
    <t>СРО-П-139-22032010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</si>
  <si>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</si>
  <si>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СРО-П-140-27022010</t>
  </si>
  <si>
    <t>СРО-П-141-27022010</t>
  </si>
  <si>
    <t>СРО-П-142-27022010</t>
  </si>
  <si>
    <t>СРО-П-144-03032010</t>
  </si>
  <si>
    <t>Ассоциация проектировщиков «СтройОбъединение»</t>
  </si>
  <si>
    <t>СРО-П-145-04032010</t>
  </si>
  <si>
    <t>СРО-П-146-09032010</t>
  </si>
  <si>
    <t>СРО-П-147-09032010</t>
  </si>
  <si>
    <t>Некоммерческое партнёрство "Ассоциация проектировщиков Кузбасса"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</si>
  <si>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</si>
  <si>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</si>
  <si>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</si>
  <si>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</si>
  <si>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</si>
  <si>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</si>
  <si>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</si>
  <si>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Некоммерческое партнёрство «Саморегулируемая организация «Краснодарские проектировщики»</t>
  </si>
  <si>
    <t>СРО-П-156-06072010</t>
  </si>
  <si>
    <t>Ассоциация саморегулируемая организация "СТРОЙПРОЕКТГАРАНТ"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</si>
  <si>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</si>
  <si>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</si>
  <si>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</si>
  <si>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</si>
  <si>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</si>
  <si>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СРО-П-163-20122010</t>
  </si>
  <si>
    <t>Ассоциация "Саморегулируемая организация "Инженер-проектировщик"</t>
  </si>
  <si>
    <t>СРО-П-164-28012011</t>
  </si>
  <si>
    <t>СРО-П-166-30062011</t>
  </si>
  <si>
    <t>Ассоциация проектировщиков "Проектирование дорог и инфраструктуры"</t>
  </si>
  <si>
    <t>СРО-П-168-22112011</t>
  </si>
  <si>
    <t>СРО-П-169-13012012</t>
  </si>
  <si>
    <t>Ассоциация проектировщиков "СтройПроект"</t>
  </si>
  <si>
    <t>СРО-П-170-16032012</t>
  </si>
  <si>
    <t>СРО-П-171-01062012</t>
  </si>
  <si>
    <t>СРО-П-172-25062012</t>
  </si>
  <si>
    <t>Ассоциация "Национальный альянс проектировщиков "ГлавПроект"</t>
  </si>
  <si>
    <t>СРО-П-174-01102012</t>
  </si>
  <si>
    <t>СРО-П-176-19102012</t>
  </si>
  <si>
    <t>Ассоциация "Объединение проектировщиков "УниверсалПроект"</t>
  </si>
  <si>
    <t>СРО-П-179-12122012</t>
  </si>
  <si>
    <t>СРО-П-180-06022013</t>
  </si>
  <si>
    <t>СРО-П-182-02042013</t>
  </si>
  <si>
    <t>СРО-П-184-06052013</t>
  </si>
  <si>
    <t>СРО-П-185-16052013</t>
  </si>
  <si>
    <t>СРО-П-186-27052013</t>
  </si>
  <si>
    <t>СРО-П-189-26032014</t>
  </si>
  <si>
    <t>СРО-П-190-23042014</t>
  </si>
  <si>
    <t>Ассоциация проектировщиков "Современные технологии проектирования"</t>
  </si>
  <si>
    <t>СРО-П-191-06062014</t>
  </si>
  <si>
    <t>СРО-П-193-05092014</t>
  </si>
  <si>
    <t>Некоммерческое партнерство "Архитектурно-проектное объединение" (НП "АПО")</t>
  </si>
  <si>
    <t>Ассоциация Саморегулируемая организация "Региональное Объединение Проектировщиков" (Ассоциация "СРО"РОП")</t>
  </si>
  <si>
    <t>Ассоциация "Объединение проектировщиков "СпецПроект" (Ассоциация "ОПСП")</t>
  </si>
  <si>
    <t>Ассоциация Саморегулируемая организация "Профессиональное сообщество проектировщиков" (Ассоциация СРО "ПСП")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</si>
  <si>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</si>
  <si>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Союз проектных организаций "ПроЭк" (СРО Союз "ПроЭк")</t>
  </si>
  <si>
    <t>Ассоциация "Профессиональный Альянс Проектировщиков" (Ассоциация ПрофАльянсПроект")</t>
  </si>
  <si>
    <t>Ассоциация проектировщиков Саморегулируемая организация "Объединение проектных организаций "ЭкспертПроект" (Ассоциация СРО "ЭкспертПроект")</t>
  </si>
  <si>
    <t>Ассоциация «Объединение проектировщиков «ПроектСити»</t>
  </si>
  <si>
    <t>Ассоциация «Саморегулируемая организация Некоммерческое партнерство Объединение Проектировщиков «ОсноваПроект» (Ассоциация СРО "ОсноваПроект")</t>
  </si>
  <si>
    <t>Ассоциация Саморегулируемая организация «Содружество проектных организаций» (Ассоциация СРО "СПО")</t>
  </si>
  <si>
    <t>Саморегулируемая организация Ассоциация проектировщиков "СтройАльянсПроект" (СРО АП "САП")</t>
  </si>
  <si>
    <t>СРО Ассоциация "ОПОРА-Проект"</t>
  </si>
  <si>
    <t>Саморегулируемая организация Ассоциация проектировщиков "Содействия организациям проектной отрасли" (СРО АП "СОПО")</t>
  </si>
  <si>
    <t>Саморегулируемая организация Ассоциация проектировщиков «Альянс Проектировщиков Профессионалов» (СРО АП "АПП")</t>
  </si>
  <si>
    <t>Ассоциация Саморегулируемая организация Некоммерческое партнерство проектировщиков "МежРегионПроект" (Ассоциация СРО "МРП")</t>
  </si>
  <si>
    <t>Ассоциация СРО «Национальное объединение проектировщиков» (Ассоциация СРО "НОП")</t>
  </si>
  <si>
    <t>Ассоциация «Центр объединения проектировщиков «СФЕРА-А» (Ассоциация ЦОП "СФЕРА-А")</t>
  </si>
  <si>
    <t>Ассоциация "Саморегулируемая организация "Межрегиональная Проектная Группа" (Ассоциация "СРО МежрегионПроектГрупп")</t>
  </si>
  <si>
    <t>СРО Союз «Инновационные технологии проектирования» (СРО Союз "ИТП")</t>
  </si>
  <si>
    <t>Ассоциация "Саморегулируемая организация компаний, осуществляющих архитектурно-строительное проектирование "МЕЖРЕГИОНПРОЕКТ"</t>
  </si>
  <si>
    <t>Саморегулируемая организация Ассоциация проектировщиков систем противопожарной защиты (СРО АПСПЗ)</t>
  </si>
  <si>
    <t>Ассоциация "Саморегулируемая организация "Казанское объединение проектировщиков" (Ассоциация СРО "КОП")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</si>
  <si>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 (СРО "ОПОРА")</t>
  </si>
  <si>
    <t>Некоммерческое партнерство «Национальное объединение профессиональных проектных организаций» ("НОППО")</t>
  </si>
  <si>
    <t>Некоммерческое партнерство саморегулируемая организация «Региональная Проектная Ассоциация» (НП СРО "РЕПРА")</t>
  </si>
  <si>
    <t>Саморегулируемая организация «Союз проектировщиков Сибири» (СРО "СПС")</t>
  </si>
  <si>
    <t>Ассоциация Саморегулируемая организация «Челябинское региональное объединение проектировщиков» (Ассоциация СРО "ЧелРОП")</t>
  </si>
  <si>
    <t>Ассоциация Саморегулируемая организация Некоммерческое партнерство "Объединение проектировщиков "Развитие" (СРО НП "ОП "Развитие")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</si>
  <si>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</si>
  <si>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проектировщиков "Саморегулируемая организация «Инженерные системы - проект»</t>
  </si>
  <si>
    <t>Саморегулируемая организация Ассоциация проектных предприятий Группа компаний "Промстройпроект"</t>
  </si>
  <si>
    <t>Союз Саморегулируемая организация «Гильдия Пермских Проектировщиков» (Союз СРО "ГПП")</t>
  </si>
  <si>
    <t>Саморегулируемая организация Ассоциация "Проектировщики Ростовской области" (СРО АСС "ПРО")</t>
  </si>
  <si>
    <t>Ассоциация Саморегулируемая организация «Лига проектировщиков Калужской области» (Ассоциация СРО "ЛпКо")</t>
  </si>
  <si>
    <t>Ассоциация «Саморегулируемая организация Гильдия архитекторов и проектировщиков»</t>
  </si>
  <si>
    <t>Саморегулируемая организация Союз «Межрегиональное объединение проектных организаций специального строительства» (СРО СОЮЗ "МОПОСС")</t>
  </si>
  <si>
    <t>Саморегулируемая организация Некоммерческое партнерство «Гильдия архитекторов и инженеров» (СРО НП ГАРХИ)</t>
  </si>
  <si>
    <t>Ассоциация Саморегулируемая организация «Башкирское общество архитекторов и проектировщиков» (АСРО "БОАП")</t>
  </si>
  <si>
    <t>Союз Саморегулируемая организация «Гильдия проектировщиков»</t>
  </si>
  <si>
    <t>Саморегулируемая организация Ассоциация «Союз архитекторов и проектировщиков Западной Сибири»</t>
  </si>
  <si>
    <t>Саморегулируемая организация Ассоциация «Объединение организаций выполняющих архитектурно-строительное проектирование объектов атомной отрасли «СОЮЗАТОМПРОЕКТ» (СРО "СОЮЗАТОМПРОЕКТ")</t>
  </si>
  <si>
    <t>Саморегулируемая организация Ассоциация «Межрегиональное объединение проектных организаций» (СРО А "МОПО")</t>
  </si>
  <si>
    <t>Саморегулируемая организация Некоммерческое партнерство «Альянс проектировщиков Оренбуржья» (СРО НП "АПО")</t>
  </si>
  <si>
    <t>Саморегулируемый союз проектировщиков (СРО "Союзпроект")</t>
  </si>
  <si>
    <t>Ассоциация Экспертно-аналитический центр проектировщиков «Проектный портал»</t>
  </si>
  <si>
    <t>Саморегулируемая ассоциация «Объединение нижегородских проектировщиков»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</si>
  <si>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</si>
  <si>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</si>
  <si>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Саморегулируемая организация Ассоциация проектных компаний «Межрегиональная ассоциация проектировщиков» (СРО АПК "МАП")</t>
  </si>
  <si>
    <t>Саморегулируемая организация Ассоциация Проектировщиков «Уральское общество архитектурно-строительного проектирования»</t>
  </si>
  <si>
    <t>Ассоциация Саморегулируемая организация «Национальное объединение научно-исследовательских и проектно-изыскательских организаций» (Ассоциация СРО "ЦЕНТРСТРОЙПРОЕКТ")</t>
  </si>
  <si>
    <t>Саморегулируемая организация «Межрегиональный союз проектировщиков» (СРО МРСП)</t>
  </si>
  <si>
    <t>Асоциация Саморегулируемая организация «Брянское Региональное Объединение Проектировщиков» (А СРО "БРОП")</t>
  </si>
  <si>
    <t>Саморегулируемая организация Ассоциация «Объединение проектировщиков Южного и Северо-Кавказского округов» (СРО АС "ЮгСевКавПроект")</t>
  </si>
  <si>
    <t>Союз «Региональное объединение проектировщиков Кубани» саморегулируемая организация (Союз "РОПК" СРО)</t>
  </si>
  <si>
    <t>Саморегулируемая организация Союз "Межрегиональное объединение проектировщиков "СтройПроектБезопасность" (СРО СОЮЗ "СПБ")</t>
  </si>
  <si>
    <t>Ассоциация Саморегулируемая организация «Лига проектировщиков подземных сооружений, метрополитенов и других объектов строительства» (Ассоциация СРО "Лига проектировщиков")</t>
  </si>
  <si>
    <t>Саморегулируемая организация Союз «Гильдия архитекторов и проектировщиков Поволжья» (СРО СОЮЗ "ГАПП")</t>
  </si>
  <si>
    <t>Саморегулируемая организация Ассоциация «Гильдия проектных организаций Южного округа» (СРО АСС "ГПО ЮО")</t>
  </si>
  <si>
    <t>Саморегулируемая организация Ассоциация «Проектные организации Северо-Запада» (СРО "ПОСЗ")</t>
  </si>
  <si>
    <t>Ассоциация Саморегулируемая организация «Балтийское объединение проектировщиков» (Ассоциация СРО "БОП")</t>
  </si>
  <si>
    <t>Саморегулируемая организация Союз «Проектировщиков объектов связи и телекоммуникаций «ПроектСвязьТелеком» (СРО Союз "ПроектСвязьТелеком")</t>
  </si>
  <si>
    <t>Ассоциация Саморегулируемая организация «Центр развития архитектурно-строительного проектирования» (Ассоциация СРО "ЦРАСП"</t>
  </si>
  <si>
    <t>Ассоциация Саморегулируемая организация «Объединение проектных организаций Республики Карелия» (Ассоциация ОПО РК (СРО)</t>
  </si>
  <si>
    <t>Ассоциация компаний, осуществляющих проектирование «Саморегулируемая организация «Региональное проектное объединение» (Ассоциация "СРО "РПО")</t>
  </si>
  <si>
    <t>Ассоциация Саморегулируемая организация «Объединение проектировщиков Тульской области» (АСРО "ОПТО")</t>
  </si>
  <si>
    <t>Союз «Национальная Организация Проектировщиков» (Союз "НацПроект")</t>
  </si>
  <si>
    <t>Ассоциация саморегулируемая организация «Байкальское общество архитекторов и инженеров» (Ассоциация СРО "БОАиИ")</t>
  </si>
  <si>
    <t>Союз проектировщиков инженерных систем зданий и сооружений (Союз "ИСЗС-проект")</t>
  </si>
  <si>
    <t>Ассоциация «Объединение профессиональных проектировщиков «РусСтрой - проект»</t>
  </si>
  <si>
    <t>Ассоциация «Саморегулируемая организация «Тверское объединение проектировщиков» (Ассоциация СРО "ТОП")</t>
  </si>
  <si>
    <t>Ассоциация «Объединение проектировщиков Владимирской области»,  саморегулируемая организация (Ассоциация "ОПВО", СРО)</t>
  </si>
  <si>
    <t>Саморегулируемая организация Ассоциация специалистов в области архитектурно-строительного проектирования "Союз Проектировщиков ТЭК" (СРО "ПроТЭК")</t>
  </si>
  <si>
    <t>Ассоциация «Саморегулируемая организация «Проектные организации Липецкой области» (Ассоциация "СРО "ПО ЛО")</t>
  </si>
  <si>
    <t>Союз Саморегулируемая организация Архитектурные и Проектные Организации Пермского Края» (Союз СРО "АПО")</t>
  </si>
  <si>
    <t>Ассоциация «Архитекторы и инженеры Поволжья (саморегулируемая организация)» (Асссоциация "АИП (СРО)"</t>
  </si>
  <si>
    <t>Ассоциация Саморегулируемая организация «Объединение проектных организаций транспортного комплекса» (АССОЦИАЦИЯ СРО "ОПОТК")</t>
  </si>
  <si>
    <t>Саморегулируемая организация Ассоциация специализированных организаций нефтехимической и нефтегазовой промышленности «НЕФТЕГАЗСЕРВИС»</t>
  </si>
  <si>
    <t>Ассоциация организаций, осуществляющих проектирование энергетических объектов «ЭНЕРГОПРОЕКТ» (Ассоциация "ЭНЕРГОПРОЕКТ")</t>
  </si>
  <si>
    <t>Ассоциация Саморегулируемая организация «Межрегиональное объединение проектировщиков» (АСРО "МОП")</t>
  </si>
  <si>
    <t>Ассоциация "Саморегулируемая организация «Международное объединение проектировщиков» (Ассоциация СРО "МОП")</t>
  </si>
  <si>
    <t>Ассоциация саморегулируемая организация «Регион-Проект»</t>
  </si>
  <si>
    <t>Ассоциация «Содействие регулированию деятельности в области архитектурно-строительного проектирования «Нефтегазохимпроект» (Ассоциация "Нефтегазохимпроект")</t>
  </si>
  <si>
    <t>Ассоциация Саморегулируемая организация «Гильдия архитекторов и инженеров Петербурга» (Ассоциация СРО ГАИП)</t>
  </si>
  <si>
    <t>Союз проектировщиков и архитекторов в малом и среднем бизнесе (СОЮЗ ПАМСБ)</t>
  </si>
  <si>
    <t>Саморегулируемая организация Союз проектировщиков "Экспертные организации электроэнергетики" (СРО СП "ЭОЭ")</t>
  </si>
  <si>
    <t>Ассоциация "Межрегиональное объединение проектировщиков (СРО)" (Ассоциация "МОП (СРО)"</t>
  </si>
  <si>
    <t>Ассоциация Саморегулируемая организация "Газораспределительная система. Проектирование"</t>
  </si>
  <si>
    <t>МЕЖРЕГИОНАЛЬНАЯ АССОЦИАЦИЯ АРХИТЕКТОРОВ И ПРОЕКТИРОВЩИКОВ (МААП)</t>
  </si>
  <si>
    <t>Саморегулируемая организация "Приволжское региональное общество архитекторов и проектировщиков" (СРО "ПРААП")</t>
  </si>
  <si>
    <t>Ассоциация Саморегулируемая организация "Объединение смоленских проектировщиков" (Ассоциация СРО "ОСП")</t>
  </si>
  <si>
    <t>Саморегулируемая организация Ассоциация «Объединение проектировщиков подземных сооружений, промышленных и гражданских объектов» (СРО А "ОПС-Проект")</t>
  </si>
  <si>
    <t>Некоммерческое партнерство «Проектный комплекс «Нижняя Волга» (НП "ПКНВ")</t>
  </si>
  <si>
    <t>Ассоциация «Саморегулируемая организация «Объединение Курских Проектировщиков» (Ассоциация "СРО "ОКП")</t>
  </si>
  <si>
    <t>Саморегулируемая организация Ассоциация «Поволжская гильдия архитекторов и проектировщиков" (Ассоциация "ПГАП (СРО)"</t>
  </si>
  <si>
    <t>Саморегулируемая организация Ассоциация «Объединение проектных организаций «Энергетическое Сетевое Проектирование» (СРО Ассоциация "Э.С.П.")</t>
  </si>
  <si>
    <t>Саморегулируемая организация Ассоциация «Гильдия проектировщиков Астраханской области» (СРО АС "ГПАО")</t>
  </si>
  <si>
    <t>Ассоциация "Саморегулируемая организация «Проектировщики Свердловской области» (Ассоциация "СРО "СОПроект")</t>
  </si>
  <si>
    <t>Ассоциация проектных организаций «Саморегулируемая организация «Инжспецстрой-Проект» (АПО "СРО "Инжспецстрой-Проект")</t>
  </si>
  <si>
    <t>Ассоциация «Саморегулируемая организация Архитекторов и проектировщиков Дальнего Востока» (Ассоциация СРО АПДВ)</t>
  </si>
  <si>
    <t>Саморегулируемая организация «Волжско-Камский союз архитекторов и проектировщиков» (СРО "ВК-САПР")</t>
  </si>
  <si>
    <t>Ассоциация «Саморегулируемая организация "Объединенные разработчики проектной документации" (Ассоциация "СРО "ОРПД")</t>
  </si>
  <si>
    <t>Саморегулируемая организация Союз «Межрегиональное объединение проектировщиков и экспертов» (СРОС МОПЭ)</t>
  </si>
  <si>
    <t>Ассоциация «Архитекторы Черноморья» (ААЧ)</t>
  </si>
  <si>
    <t>Саморегулируемая организация Ассоциация «Межрегионпроект»</t>
  </si>
  <si>
    <t>Ассоциация «Гильдия архитекторов и проектировщиков Красноярья»</t>
  </si>
  <si>
    <t>Ассоциация саморегулируемая организация «Объединение организаций-разработчиков систем комплексной безопасности» (Ассоциация СРО "Объединение ОРСКБ")</t>
  </si>
  <si>
    <t>Союз "Проектировщики нефтегазовой отрасли» ("Союзнефтегазпроект")</t>
  </si>
  <si>
    <t>Ассоциация Саморегулируемая организация «ЦентрСтройПроект» (Ассоциация "ЦСП")</t>
  </si>
  <si>
    <t>Саморегулируемая организация "Союз проектировщиков Поволжья" (СРО СПП)</t>
  </si>
  <si>
    <t>Ассоциация Саморегулируемая организация «Управление проектировщиков Северо-Запада» (Ассоциация СРО "УПСЗ")</t>
  </si>
  <si>
    <t>Некоммерческое партнерство саморегулируемая организация "Объединение проектировщиков объектов топливно-энергетического комплекса "Нефтегазпроект-Альянс" (НП СРО "Нефтегазпроект-Альянс")</t>
  </si>
  <si>
    <t>Саморегулируемая организация Союз архитекторов и проектировщиков "ВОЛГА-КАМА" (СРО Союз "ВОЛГА-КАМА")</t>
  </si>
  <si>
    <t>Некоммерческое партнерство «Межрегиональное объединение организаций архитектурно-строительного проектирования» (НП СРО "МООАСП")</t>
  </si>
  <si>
    <t>Союз "Межрегиональное объединение организаций в области проектирования "Ярд" (Союз "МОООП "Ярд")</t>
  </si>
  <si>
    <t>Ассоциация Саморегулируемая организация «Союз проектировщиков Прикамья» (АСРО "СПП")</t>
  </si>
  <si>
    <t>Ассоциация "Академический Проектный Центр" (АПЦ)</t>
  </si>
  <si>
    <t>Ассоциация«Саморегулируемая организация «Объединение проектных организаций» (Ассоциация "СРО "ОПрО")</t>
  </si>
  <si>
    <t>Ассоциация "Объединение проектировщиков опасных производственных объектов "СПЕЦПРОЕКТОБЪЕДИНЕНИЕ"</t>
  </si>
  <si>
    <t>Союз проектных организаций Южного Урала</t>
  </si>
  <si>
    <t>Саморегулируемая организация Союз «Проектные организации ОАО «НК «Роснефть» (СРО СПО "Роснефть")</t>
  </si>
  <si>
    <t>Ассоциация "Объединение организаций, выполняющих проектные работы в газовой и нефтяной отрасли "Инженер-Проектировщик" (Ассоциация "Инженер-Проектировщик")</t>
  </si>
  <si>
    <t>Ассоциация проектировщиков «Столичное объединение проектировщиков» саморегулируемая организация (АП "СОП" СРО)</t>
  </si>
  <si>
    <t>Союз «Комплексное Объединение Проектировщиков» (Союз "КОП")</t>
  </si>
  <si>
    <t>Некоммерческое партнёрство "Межрегиональное объединение специализированных проектных организаций "Стройспецпроект" (НП МО "Стройспецпроект")</t>
  </si>
  <si>
    <t>Ассоциация саморегулируемая организация "Проектировщики Приморского края" (Асссоциация СРО "ППК")</t>
  </si>
  <si>
    <t xml:space="preserve">Ассоциация проектировщиков Южного округа </t>
  </si>
  <si>
    <t>СРО-П-195-15092017</t>
  </si>
  <si>
    <t>% размещенного компфонда от сформированного в соответствии со ст.55.4 и 55.16 ГрК            Зеленый - 90-100%  Желтый - 70-90% Красный - 0-70%</t>
  </si>
  <si>
    <t>Ассоциация «Объединение градостроительных проектных организаций»</t>
  </si>
  <si>
    <t>СРО-П-196-14022018</t>
  </si>
  <si>
    <t>Ассоциация архитекторов и проектировщиков Поволжья</t>
  </si>
  <si>
    <t>СРО-П-197-21022018</t>
  </si>
  <si>
    <t>Ассоциация Саморегулируемая организация "Северо-Кавказское сообщество проектных организаций" (Ассоциация СРО "СК-АСПО")</t>
  </si>
  <si>
    <t>Ассоциация проектировщиков "Содружество профессиональных проектировщиков в строительсьве" (Ассоциация "СПРОФПРОЕКТ")</t>
  </si>
  <si>
    <t>СРО-П-198-25042018</t>
  </si>
  <si>
    <t>Ассоциация проектировщиков "Межрегиональное объединение профессиональных проектировщиков (Ассоциация "Межрегиональное ОПП")</t>
  </si>
  <si>
    <t>СРО-П-199-23052018</t>
  </si>
  <si>
    <t>Ассоциация "Национальное проектное объединение" (Ассоциация НПО)</t>
  </si>
  <si>
    <t>СРО-П-200-23052018</t>
  </si>
  <si>
    <t>Ассоциация профессиональных проектировщиков Сибири</t>
  </si>
  <si>
    <t>СРО-П-201-04062018</t>
  </si>
  <si>
    <t>Размещение на спецсчетах компфондов СРО по информации Ростехнадзора на 09.06.2018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</si>
</sst>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color rgb="FF02292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4" fillId="0" borderId="0" xfId="0" applyNumberFormat="1" applyFont="1"/>
    <xf numFmtId="44" fontId="11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4" fontId="0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6"/>
  <sheetViews>
    <sheetView tabSelected="1" topLeftCell="A167" zoomScale="65" zoomScaleNormal="65" workbookViewId="0">
      <selection activeCell="F180" sqref="F180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6"/>
      <c r="B4" s="17"/>
      <c r="C4" s="17"/>
      <c r="D4" s="17"/>
      <c r="E4" s="17"/>
      <c r="F4" s="17"/>
      <c r="G4" s="17"/>
      <c r="H4" s="17"/>
      <c r="I4" s="17"/>
    </row>
    <row r="5" spans="1:10" hidden="1" x14ac:dyDescent="0.25"/>
    <row r="6" spans="1:10" x14ac:dyDescent="0.25">
      <c r="A6" s="41" t="s">
        <v>1</v>
      </c>
      <c r="B6" s="41" t="s">
        <v>0</v>
      </c>
      <c r="C6" s="42" t="s">
        <v>355</v>
      </c>
      <c r="D6" s="43"/>
      <c r="E6" s="43"/>
      <c r="F6" s="43"/>
      <c r="G6" s="43"/>
      <c r="H6" s="43"/>
      <c r="I6" s="43"/>
      <c r="J6" s="44"/>
    </row>
    <row r="7" spans="1:10" ht="132" customHeight="1" x14ac:dyDescent="0.25">
      <c r="A7" s="41"/>
      <c r="B7" s="41"/>
      <c r="C7" s="3" t="s">
        <v>4</v>
      </c>
      <c r="D7" s="3" t="s">
        <v>216</v>
      </c>
      <c r="E7" s="3" t="s">
        <v>3</v>
      </c>
      <c r="F7" s="3" t="s">
        <v>341</v>
      </c>
      <c r="G7" s="1"/>
    </row>
    <row r="8" spans="1:10" ht="30" customHeight="1" x14ac:dyDescent="0.25">
      <c r="A8" s="21" t="s">
        <v>248</v>
      </c>
      <c r="B8" s="23" t="s">
        <v>5</v>
      </c>
      <c r="C8" s="22">
        <f>78473436.74+88809782.38</f>
        <v>167283219.12</v>
      </c>
      <c r="D8" s="12">
        <f>76255459.15+70707477.79</f>
        <v>146962936.94</v>
      </c>
      <c r="E8" s="22">
        <v>41894670.030000001</v>
      </c>
      <c r="F8" s="31">
        <f>D8*100/C8</f>
        <v>87.852767129365603</v>
      </c>
    </row>
    <row r="9" spans="1:10" ht="30" customHeight="1" x14ac:dyDescent="0.25">
      <c r="A9" s="21" t="s">
        <v>247</v>
      </c>
      <c r="B9" s="23" t="s">
        <v>6</v>
      </c>
      <c r="C9" s="6">
        <v>126527066.20999999</v>
      </c>
      <c r="D9" s="12">
        <f>40150000+80877066.21</f>
        <v>121027066.20999999</v>
      </c>
      <c r="E9" s="6"/>
      <c r="F9" s="30">
        <f>D9*100/C9</f>
        <v>95.653103984192981</v>
      </c>
    </row>
    <row r="10" spans="1:10" ht="30" customHeight="1" x14ac:dyDescent="0.25">
      <c r="A10" s="21" t="s">
        <v>249</v>
      </c>
      <c r="B10" s="23" t="s">
        <v>7</v>
      </c>
      <c r="C10" s="6">
        <v>147371854.49000001</v>
      </c>
      <c r="D10" s="12">
        <f>60050000+84271854.49</f>
        <v>144321854.49000001</v>
      </c>
      <c r="E10" s="6"/>
      <c r="F10" s="30">
        <f t="shared" ref="F10:F71" si="0">D10*100/C10</f>
        <v>97.930405360945656</v>
      </c>
    </row>
    <row r="11" spans="1:10" ht="30" customHeight="1" x14ac:dyDescent="0.25">
      <c r="A11" s="21" t="s">
        <v>250</v>
      </c>
      <c r="B11" s="23" t="s">
        <v>8</v>
      </c>
      <c r="C11" s="22">
        <v>81800000</v>
      </c>
      <c r="D11" s="12">
        <f>49050000+24500000</f>
        <v>73550000</v>
      </c>
      <c r="E11" s="6"/>
      <c r="F11" s="31">
        <f t="shared" si="0"/>
        <v>89.914425427872857</v>
      </c>
    </row>
    <row r="12" spans="1:10" ht="30" customHeight="1" x14ac:dyDescent="0.25">
      <c r="A12" s="21" t="s">
        <v>9</v>
      </c>
      <c r="B12" s="23" t="s">
        <v>10</v>
      </c>
      <c r="C12" s="6">
        <v>52437131.090000004</v>
      </c>
      <c r="D12" s="12">
        <f>23077156.01+29359975.08</f>
        <v>52437131.090000004</v>
      </c>
      <c r="E12" s="6"/>
      <c r="F12" s="30">
        <f t="shared" si="0"/>
        <v>100</v>
      </c>
    </row>
    <row r="13" spans="1:10" ht="30" customHeight="1" x14ac:dyDescent="0.25">
      <c r="A13" s="21" t="s">
        <v>251</v>
      </c>
      <c r="B13" s="23" t="s">
        <v>11</v>
      </c>
      <c r="C13" s="22">
        <v>66571610.329999998</v>
      </c>
      <c r="D13" s="12">
        <f>16000699.38+46829805.98</f>
        <v>62830505.359999999</v>
      </c>
      <c r="E13" s="6"/>
      <c r="F13" s="30">
        <f t="shared" si="0"/>
        <v>94.380329766014242</v>
      </c>
    </row>
    <row r="14" spans="1:10" ht="30" customHeight="1" x14ac:dyDescent="0.25">
      <c r="A14" s="21" t="s">
        <v>252</v>
      </c>
      <c r="B14" s="23" t="s">
        <v>12</v>
      </c>
      <c r="C14" s="22">
        <v>67502179.489999995</v>
      </c>
      <c r="D14" s="12">
        <f>16400000+51102179.49</f>
        <v>67502179.49000001</v>
      </c>
      <c r="E14" s="6"/>
      <c r="F14" s="30">
        <f t="shared" si="0"/>
        <v>100.00000000000003</v>
      </c>
    </row>
    <row r="15" spans="1:10" ht="30" customHeight="1" x14ac:dyDescent="0.25">
      <c r="A15" s="21" t="s">
        <v>13</v>
      </c>
      <c r="B15" s="23" t="s">
        <v>14</v>
      </c>
      <c r="C15" s="6">
        <v>96495280.870000005</v>
      </c>
      <c r="D15" s="12">
        <f>18450000+61887192</f>
        <v>80337192</v>
      </c>
      <c r="E15" s="6"/>
      <c r="F15" s="31">
        <f t="shared" si="0"/>
        <v>83.255047579198774</v>
      </c>
    </row>
    <row r="16" spans="1:10" ht="30" customHeight="1" x14ac:dyDescent="0.25">
      <c r="A16" s="21" t="s">
        <v>253</v>
      </c>
      <c r="B16" s="23" t="s">
        <v>15</v>
      </c>
      <c r="C16" s="22">
        <v>173178282.97</v>
      </c>
      <c r="D16" s="12">
        <f>39006278.42+134500958.24</f>
        <v>173507236.66000003</v>
      </c>
      <c r="E16" s="6"/>
      <c r="F16" s="30">
        <f t="shared" si="0"/>
        <v>100.1899508901223</v>
      </c>
    </row>
    <row r="17" spans="1:6" ht="30" customHeight="1" x14ac:dyDescent="0.25">
      <c r="A17" s="21" t="s">
        <v>16</v>
      </c>
      <c r="B17" s="23" t="s">
        <v>17</v>
      </c>
      <c r="C17" s="22">
        <v>270767199.11000001</v>
      </c>
      <c r="D17" s="12">
        <f>103652700.91+171007199.11</f>
        <v>274659900.01999998</v>
      </c>
      <c r="E17" s="6"/>
      <c r="F17" s="30">
        <f t="shared" si="0"/>
        <v>101.43765600958872</v>
      </c>
    </row>
    <row r="18" spans="1:6" ht="30" customHeight="1" x14ac:dyDescent="0.25">
      <c r="A18" s="21" t="s">
        <v>18</v>
      </c>
      <c r="B18" s="23" t="s">
        <v>19</v>
      </c>
      <c r="C18" s="22">
        <v>150745000</v>
      </c>
      <c r="D18" s="12">
        <f>55659161.62+116395564.58</f>
        <v>172054726.19999999</v>
      </c>
      <c r="E18" s="6"/>
      <c r="F18" s="30">
        <f t="shared" si="0"/>
        <v>114.13627397260274</v>
      </c>
    </row>
    <row r="19" spans="1:6" ht="30" customHeight="1" x14ac:dyDescent="0.25">
      <c r="A19" s="21" t="s">
        <v>20</v>
      </c>
      <c r="B19" s="23" t="s">
        <v>21</v>
      </c>
      <c r="C19" s="6">
        <v>69443819.409999996</v>
      </c>
      <c r="D19" s="12">
        <f>23150066+32057500</f>
        <v>55207566</v>
      </c>
      <c r="E19" s="6"/>
      <c r="F19" s="31">
        <f t="shared" si="0"/>
        <v>79.499610575926994</v>
      </c>
    </row>
    <row r="20" spans="1:6" ht="30" customHeight="1" x14ac:dyDescent="0.25">
      <c r="A20" s="21" t="s">
        <v>254</v>
      </c>
      <c r="B20" s="23" t="s">
        <v>22</v>
      </c>
      <c r="C20" s="22">
        <v>113465202.41</v>
      </c>
      <c r="D20" s="12">
        <f>39800379.42+72845433.62</f>
        <v>112645813.04000001</v>
      </c>
      <c r="E20" s="6"/>
      <c r="F20" s="30">
        <f t="shared" si="0"/>
        <v>99.277849637954034</v>
      </c>
    </row>
    <row r="21" spans="1:6" ht="30" customHeight="1" x14ac:dyDescent="0.25">
      <c r="A21" s="21" t="s">
        <v>23</v>
      </c>
      <c r="B21" s="23" t="s">
        <v>24</v>
      </c>
      <c r="C21" s="6">
        <v>39745675.229999997</v>
      </c>
      <c r="D21" s="12">
        <f>12600000+27095675.23</f>
        <v>39695675.230000004</v>
      </c>
      <c r="E21" s="6"/>
      <c r="F21" s="30">
        <f t="shared" si="0"/>
        <v>99.874200149549225</v>
      </c>
    </row>
    <row r="22" spans="1:6" ht="30" customHeight="1" x14ac:dyDescent="0.25">
      <c r="A22" s="21" t="s">
        <v>25</v>
      </c>
      <c r="B22" s="23" t="s">
        <v>26</v>
      </c>
      <c r="C22" s="22">
        <v>117406730.13</v>
      </c>
      <c r="D22" s="12">
        <f>29011452.05+88395278.08</f>
        <v>117406730.13</v>
      </c>
      <c r="E22" s="6"/>
      <c r="F22" s="30">
        <f t="shared" si="0"/>
        <v>100</v>
      </c>
    </row>
    <row r="23" spans="1:6" ht="30" customHeight="1" x14ac:dyDescent="0.25">
      <c r="A23" s="21" t="s">
        <v>255</v>
      </c>
      <c r="B23" s="23" t="s">
        <v>27</v>
      </c>
      <c r="C23" s="22">
        <v>63334753.18</v>
      </c>
      <c r="D23" s="12">
        <f>14707208.41+94767610.06</f>
        <v>109474818.47</v>
      </c>
      <c r="E23" s="6"/>
      <c r="F23" s="30">
        <f t="shared" si="0"/>
        <v>172.8511014464176</v>
      </c>
    </row>
    <row r="24" spans="1:6" ht="30" customHeight="1" x14ac:dyDescent="0.25">
      <c r="A24" s="21" t="s">
        <v>256</v>
      </c>
      <c r="B24" s="23" t="s">
        <v>28</v>
      </c>
      <c r="C24" s="6">
        <v>86608108.640000001</v>
      </c>
      <c r="D24" s="12">
        <f>16282775.45+69325333.19</f>
        <v>85608108.640000001</v>
      </c>
      <c r="E24" s="6"/>
      <c r="F24" s="30">
        <f t="shared" si="0"/>
        <v>98.845373700334861</v>
      </c>
    </row>
    <row r="25" spans="1:6" ht="30" customHeight="1" x14ac:dyDescent="0.25">
      <c r="A25" s="21" t="s">
        <v>257</v>
      </c>
      <c r="B25" s="23" t="s">
        <v>29</v>
      </c>
      <c r="C25" s="22">
        <v>120836550.20999999</v>
      </c>
      <c r="D25" s="12">
        <f>46780964.38+74055585.83</f>
        <v>120836550.21000001</v>
      </c>
      <c r="E25" s="6"/>
      <c r="F25" s="30">
        <f t="shared" si="0"/>
        <v>100</v>
      </c>
    </row>
    <row r="26" spans="1:6" ht="30" customHeight="1" x14ac:dyDescent="0.25">
      <c r="A26" s="21" t="s">
        <v>30</v>
      </c>
      <c r="B26" s="23" t="s">
        <v>31</v>
      </c>
      <c r="C26" s="6">
        <v>81749992.840000004</v>
      </c>
      <c r="D26" s="12">
        <f>16894587.44+64855405.4</f>
        <v>81749992.840000004</v>
      </c>
      <c r="E26" s="6"/>
      <c r="F26" s="30">
        <f t="shared" si="0"/>
        <v>100</v>
      </c>
    </row>
    <row r="27" spans="1:6" ht="30" customHeight="1" x14ac:dyDescent="0.25">
      <c r="A27" s="21" t="s">
        <v>32</v>
      </c>
      <c r="B27" s="23" t="s">
        <v>33</v>
      </c>
      <c r="C27" s="6">
        <v>497312000</v>
      </c>
      <c r="D27" s="12">
        <f>186452256.3+180850972.92</f>
        <v>367303229.22000003</v>
      </c>
      <c r="E27" s="6"/>
      <c r="F27" s="31">
        <f>D27*100/C27</f>
        <v>73.857704865356155</v>
      </c>
    </row>
    <row r="28" spans="1:6" ht="30" customHeight="1" x14ac:dyDescent="0.25">
      <c r="A28" s="21" t="s">
        <v>258</v>
      </c>
      <c r="B28" s="23" t="s">
        <v>34</v>
      </c>
      <c r="C28" s="6">
        <v>61984793.18</v>
      </c>
      <c r="D28" s="12">
        <f>18206297.28+42586121.56</f>
        <v>60792418.840000004</v>
      </c>
      <c r="E28" s="6"/>
      <c r="F28" s="30">
        <f t="shared" si="0"/>
        <v>98.07634376299778</v>
      </c>
    </row>
    <row r="29" spans="1:6" ht="30" customHeight="1" x14ac:dyDescent="0.25">
      <c r="A29" s="19" t="s">
        <v>259</v>
      </c>
      <c r="B29" s="23" t="s">
        <v>35</v>
      </c>
      <c r="C29" s="6">
        <v>61802376</v>
      </c>
      <c r="D29" s="12">
        <f>10550000+43227759</f>
        <v>53777759</v>
      </c>
      <c r="E29" s="6"/>
      <c r="F29" s="31">
        <f t="shared" si="0"/>
        <v>87.015682050800123</v>
      </c>
    </row>
    <row r="30" spans="1:6" ht="30" customHeight="1" x14ac:dyDescent="0.25">
      <c r="A30" s="21" t="s">
        <v>260</v>
      </c>
      <c r="B30" s="23" t="s">
        <v>36</v>
      </c>
      <c r="C30" s="22">
        <v>78717421.920000002</v>
      </c>
      <c r="D30" s="12">
        <f>16641732.07+62889374.61</f>
        <v>79531106.680000007</v>
      </c>
      <c r="E30" s="6"/>
      <c r="F30" s="30">
        <f t="shared" si="0"/>
        <v>101.03367811108824</v>
      </c>
    </row>
    <row r="31" spans="1:6" ht="30" customHeight="1" x14ac:dyDescent="0.25">
      <c r="A31" s="21" t="s">
        <v>37</v>
      </c>
      <c r="B31" s="23" t="s">
        <v>38</v>
      </c>
      <c r="C31" s="6">
        <v>133849672.08</v>
      </c>
      <c r="D31" s="12">
        <f>47641225.43+86148446</f>
        <v>133789671.43000001</v>
      </c>
      <c r="E31" s="6"/>
      <c r="F31" s="30">
        <f t="shared" si="0"/>
        <v>99.955173106465182</v>
      </c>
    </row>
    <row r="32" spans="1:6" ht="30" customHeight="1" x14ac:dyDescent="0.25">
      <c r="A32" s="20" t="s">
        <v>39</v>
      </c>
      <c r="B32" s="2" t="s">
        <v>40</v>
      </c>
      <c r="C32" s="6">
        <v>70208350.510000005</v>
      </c>
      <c r="D32" s="13">
        <f>17850000+41858350</f>
        <v>59708350</v>
      </c>
      <c r="E32" s="6"/>
      <c r="F32" s="31">
        <f t="shared" si="0"/>
        <v>85.044513318249145</v>
      </c>
    </row>
    <row r="33" spans="1:6" ht="30" customHeight="1" x14ac:dyDescent="0.25">
      <c r="A33" s="21" t="s">
        <v>261</v>
      </c>
      <c r="B33" s="23" t="s">
        <v>41</v>
      </c>
      <c r="C33" s="6">
        <v>102324214.56</v>
      </c>
      <c r="D33" s="12">
        <f>36871500+64502714.56</f>
        <v>101374214.56</v>
      </c>
      <c r="E33" s="6"/>
      <c r="F33" s="30">
        <f t="shared" si="0"/>
        <v>99.0715785075067</v>
      </c>
    </row>
    <row r="34" spans="1:6" ht="30" customHeight="1" x14ac:dyDescent="0.25">
      <c r="A34" s="21" t="s">
        <v>262</v>
      </c>
      <c r="B34" s="23" t="s">
        <v>42</v>
      </c>
      <c r="C34" s="22">
        <v>43633233.75</v>
      </c>
      <c r="D34" s="15">
        <f>18940748.35+21124631.04</f>
        <v>40065379.390000001</v>
      </c>
      <c r="E34" s="14"/>
      <c r="F34" s="30">
        <f t="shared" si="0"/>
        <v>91.823080589345494</v>
      </c>
    </row>
    <row r="35" spans="1:6" ht="30" customHeight="1" x14ac:dyDescent="0.25">
      <c r="A35" s="2" t="s">
        <v>263</v>
      </c>
      <c r="B35" s="2" t="s">
        <v>43</v>
      </c>
      <c r="C35" s="22">
        <v>150138444</v>
      </c>
      <c r="D35" s="12">
        <f>67782614+78605825.1</f>
        <v>146388439.09999999</v>
      </c>
      <c r="E35" s="6"/>
      <c r="F35" s="30">
        <f t="shared" si="0"/>
        <v>97.502302008671407</v>
      </c>
    </row>
    <row r="36" spans="1:6" ht="30" customHeight="1" x14ac:dyDescent="0.25">
      <c r="A36" s="20" t="s">
        <v>264</v>
      </c>
      <c r="B36" s="2" t="s">
        <v>44</v>
      </c>
      <c r="C36" s="22">
        <v>80150000</v>
      </c>
      <c r="D36" s="12">
        <f>20034904.07+18470915.25</f>
        <v>38505819.32</v>
      </c>
      <c r="E36" s="22">
        <v>57919796</v>
      </c>
      <c r="F36" s="32">
        <f t="shared" si="0"/>
        <v>48.042195034310666</v>
      </c>
    </row>
    <row r="37" spans="1:6" ht="30" customHeight="1" x14ac:dyDescent="0.25">
      <c r="A37" s="20" t="s">
        <v>45</v>
      </c>
      <c r="B37" s="2" t="s">
        <v>46</v>
      </c>
      <c r="C37" s="22">
        <v>283019737.38999999</v>
      </c>
      <c r="D37" s="12">
        <f>99327860.82+183691876.57</f>
        <v>283019737.38999999</v>
      </c>
      <c r="E37" s="6"/>
      <c r="F37" s="30">
        <f t="shared" si="0"/>
        <v>100</v>
      </c>
    </row>
    <row r="38" spans="1:6" ht="30" customHeight="1" x14ac:dyDescent="0.25">
      <c r="A38" s="20" t="s">
        <v>265</v>
      </c>
      <c r="B38" s="2" t="s">
        <v>47</v>
      </c>
      <c r="C38" s="6">
        <v>38210055.689999998</v>
      </c>
      <c r="D38" s="9">
        <f>11768794.04+25607839.82</f>
        <v>37376633.859999999</v>
      </c>
      <c r="E38" s="6"/>
      <c r="F38" s="30">
        <f t="shared" si="0"/>
        <v>97.818841624410112</v>
      </c>
    </row>
    <row r="39" spans="1:6" ht="30" customHeight="1" x14ac:dyDescent="0.25">
      <c r="A39" s="21" t="s">
        <v>266</v>
      </c>
      <c r="B39" s="23" t="s">
        <v>48</v>
      </c>
      <c r="C39" s="6">
        <v>163921706.46000001</v>
      </c>
      <c r="D39" s="12">
        <f>47645338.62+116276367.84</f>
        <v>163921706.46000001</v>
      </c>
      <c r="E39" s="6"/>
      <c r="F39" s="30">
        <f t="shared" si="0"/>
        <v>100</v>
      </c>
    </row>
    <row r="40" spans="1:6" ht="30" customHeight="1" x14ac:dyDescent="0.25">
      <c r="A40" s="20" t="s">
        <v>267</v>
      </c>
      <c r="B40" s="2" t="s">
        <v>49</v>
      </c>
      <c r="C40" s="22">
        <v>22876796</v>
      </c>
      <c r="D40" s="12">
        <f>10770084.82+7406710.72</f>
        <v>18176795.539999999</v>
      </c>
      <c r="E40" s="6"/>
      <c r="F40" s="31">
        <f t="shared" si="0"/>
        <v>79.455162952014788</v>
      </c>
    </row>
    <row r="41" spans="1:6" ht="30" customHeight="1" x14ac:dyDescent="0.25">
      <c r="A41" s="21" t="s">
        <v>268</v>
      </c>
      <c r="B41" s="23" t="s">
        <v>50</v>
      </c>
      <c r="C41" s="6">
        <v>109082089.65000001</v>
      </c>
      <c r="D41" s="12">
        <f>54499999+43454694</f>
        <v>97954693</v>
      </c>
      <c r="E41" s="22">
        <v>41831046.329999998</v>
      </c>
      <c r="F41" s="31">
        <f t="shared" si="0"/>
        <v>89.799061710585775</v>
      </c>
    </row>
    <row r="42" spans="1:6" ht="30" customHeight="1" x14ac:dyDescent="0.25">
      <c r="A42" s="20" t="s">
        <v>269</v>
      </c>
      <c r="B42" s="2" t="s">
        <v>51</v>
      </c>
      <c r="C42" s="6">
        <v>57950000</v>
      </c>
      <c r="D42" s="12">
        <f>18400000+28834189</f>
        <v>47234189</v>
      </c>
      <c r="E42" s="6"/>
      <c r="F42" s="31">
        <f t="shared" si="0"/>
        <v>81.508522864538392</v>
      </c>
    </row>
    <row r="43" spans="1:6" ht="30" customHeight="1" x14ac:dyDescent="0.25">
      <c r="A43" s="20" t="s">
        <v>270</v>
      </c>
      <c r="B43" s="2" t="s">
        <v>52</v>
      </c>
      <c r="C43" s="6">
        <v>84850018.370000005</v>
      </c>
      <c r="D43" s="12">
        <f>17822552.06+67127466.31</f>
        <v>84950018.370000005</v>
      </c>
      <c r="E43" s="6"/>
      <c r="F43" s="30">
        <f t="shared" si="0"/>
        <v>100.1178550127873</v>
      </c>
    </row>
    <row r="44" spans="1:6" ht="30" customHeight="1" x14ac:dyDescent="0.25">
      <c r="A44" s="21" t="s">
        <v>271</v>
      </c>
      <c r="B44" s="23" t="s">
        <v>53</v>
      </c>
      <c r="C44" s="6">
        <v>86610985.129999995</v>
      </c>
      <c r="D44" s="12">
        <f>21550000+65060985.13</f>
        <v>86610985.129999995</v>
      </c>
      <c r="E44" s="6"/>
      <c r="F44" s="30">
        <f t="shared" si="0"/>
        <v>100</v>
      </c>
    </row>
    <row r="45" spans="1:6" ht="30" customHeight="1" x14ac:dyDescent="0.25">
      <c r="A45" s="20" t="s">
        <v>272</v>
      </c>
      <c r="B45" s="2" t="s">
        <v>54</v>
      </c>
      <c r="C45" s="22">
        <v>35946500</v>
      </c>
      <c r="D45" s="12">
        <f>3750000+29446461.38</f>
        <v>33196461.379999999</v>
      </c>
      <c r="E45" s="6"/>
      <c r="F45" s="30">
        <f t="shared" si="0"/>
        <v>92.349634540219498</v>
      </c>
    </row>
    <row r="46" spans="1:6" ht="30" customHeight="1" x14ac:dyDescent="0.25">
      <c r="A46" s="20" t="s">
        <v>273</v>
      </c>
      <c r="B46" s="2" t="s">
        <v>55</v>
      </c>
      <c r="C46" s="22">
        <v>225192164.78999999</v>
      </c>
      <c r="D46" s="13">
        <f>108724060.01+116468104.78</f>
        <v>225192164.79000002</v>
      </c>
      <c r="E46" s="6"/>
      <c r="F46" s="30">
        <f t="shared" si="0"/>
        <v>100.00000000000001</v>
      </c>
    </row>
    <row r="47" spans="1:6" ht="30" customHeight="1" x14ac:dyDescent="0.25">
      <c r="A47" s="20" t="s">
        <v>274</v>
      </c>
      <c r="B47" s="2" t="s">
        <v>56</v>
      </c>
      <c r="C47" s="22">
        <v>125456831.91</v>
      </c>
      <c r="D47" s="12">
        <f>22500000+41475000</f>
        <v>63975000</v>
      </c>
      <c r="E47" s="6"/>
      <c r="F47" s="32">
        <f t="shared" si="0"/>
        <v>50.993635839532658</v>
      </c>
    </row>
    <row r="48" spans="1:6" ht="30" customHeight="1" x14ac:dyDescent="0.25">
      <c r="A48" s="20" t="s">
        <v>57</v>
      </c>
      <c r="B48" s="2" t="s">
        <v>58</v>
      </c>
      <c r="C48" s="22">
        <v>91068704.930000007</v>
      </c>
      <c r="D48" s="13">
        <f>36424487.6+54644217.33</f>
        <v>91068704.930000007</v>
      </c>
      <c r="E48" s="6"/>
      <c r="F48" s="30">
        <f t="shared" si="0"/>
        <v>99.999999999999986</v>
      </c>
    </row>
    <row r="49" spans="1:6" ht="30" customHeight="1" x14ac:dyDescent="0.25">
      <c r="A49" s="21" t="s">
        <v>275</v>
      </c>
      <c r="B49" s="23" t="s">
        <v>59</v>
      </c>
      <c r="C49" s="6">
        <v>111168769.45</v>
      </c>
      <c r="D49" s="12">
        <f>39163076.67+65972429</f>
        <v>105135505.67</v>
      </c>
      <c r="E49" s="6"/>
      <c r="F49" s="30">
        <f t="shared" si="0"/>
        <v>94.572878867105246</v>
      </c>
    </row>
    <row r="50" spans="1:6" ht="30" customHeight="1" x14ac:dyDescent="0.25">
      <c r="A50" s="20" t="s">
        <v>60</v>
      </c>
      <c r="B50" s="2" t="s">
        <v>61</v>
      </c>
      <c r="C50" s="6">
        <v>86031641</v>
      </c>
      <c r="D50" s="12">
        <f>50517447.43+110196064.48</f>
        <v>160713511.91</v>
      </c>
      <c r="E50" s="6"/>
      <c r="F50" s="30">
        <f t="shared" si="0"/>
        <v>186.80744670440495</v>
      </c>
    </row>
    <row r="51" spans="1:6" ht="30" customHeight="1" x14ac:dyDescent="0.25">
      <c r="A51" s="20" t="s">
        <v>276</v>
      </c>
      <c r="B51" s="2" t="s">
        <v>62</v>
      </c>
      <c r="C51" s="6">
        <v>27428278</v>
      </c>
      <c r="D51" s="12">
        <f>4450000+19378278</f>
        <v>23828278</v>
      </c>
      <c r="E51" s="6"/>
      <c r="F51" s="31">
        <f t="shared" si="0"/>
        <v>86.874859588341636</v>
      </c>
    </row>
    <row r="52" spans="1:6" ht="30" customHeight="1" x14ac:dyDescent="0.25">
      <c r="A52" s="20" t="s">
        <v>277</v>
      </c>
      <c r="B52" s="2" t="s">
        <v>63</v>
      </c>
      <c r="C52" s="22">
        <v>94050000</v>
      </c>
      <c r="D52" s="12">
        <f>9450000+4800000</f>
        <v>14250000</v>
      </c>
      <c r="E52" s="6"/>
      <c r="F52" s="32">
        <f t="shared" si="0"/>
        <v>15.151515151515152</v>
      </c>
    </row>
    <row r="53" spans="1:6" ht="30" customHeight="1" x14ac:dyDescent="0.25">
      <c r="A53" s="21" t="s">
        <v>278</v>
      </c>
      <c r="B53" s="23" t="s">
        <v>64</v>
      </c>
      <c r="C53" s="6">
        <v>52189901.700000003</v>
      </c>
      <c r="D53" s="12">
        <f>12222532.74+39967369.03</f>
        <v>52189901.770000003</v>
      </c>
      <c r="E53" s="6"/>
      <c r="F53" s="30">
        <f t="shared" si="0"/>
        <v>100.00000013412556</v>
      </c>
    </row>
    <row r="54" spans="1:6" ht="30" customHeight="1" x14ac:dyDescent="0.25">
      <c r="A54" s="21" t="s">
        <v>279</v>
      </c>
      <c r="B54" s="23" t="s">
        <v>65</v>
      </c>
      <c r="C54" s="6">
        <v>106325956</v>
      </c>
      <c r="D54" s="12">
        <v>3495587</v>
      </c>
      <c r="E54" s="28">
        <v>102351273.91</v>
      </c>
      <c r="F54" s="32">
        <f t="shared" si="0"/>
        <v>3.2876139858079432</v>
      </c>
    </row>
    <row r="55" spans="1:6" ht="30" customHeight="1" x14ac:dyDescent="0.25">
      <c r="A55" s="20" t="s">
        <v>66</v>
      </c>
      <c r="B55" s="2" t="s">
        <v>67</v>
      </c>
      <c r="C55" s="14">
        <v>31623113.539999999</v>
      </c>
      <c r="D55" s="15">
        <f>14661297+12989474</f>
        <v>27650771</v>
      </c>
      <c r="E55" s="28">
        <v>22908514.77</v>
      </c>
      <c r="F55" s="31">
        <f t="shared" si="0"/>
        <v>87.438483769236086</v>
      </c>
    </row>
    <row r="56" spans="1:6" ht="30" customHeight="1" x14ac:dyDescent="0.25">
      <c r="A56" s="20" t="s">
        <v>280</v>
      </c>
      <c r="B56" s="2" t="s">
        <v>68</v>
      </c>
      <c r="C56" s="6">
        <v>28363226.09</v>
      </c>
      <c r="D56" s="12">
        <f>8150000+16785802</f>
        <v>24935802</v>
      </c>
      <c r="E56" s="6"/>
      <c r="F56" s="31">
        <f t="shared" si="0"/>
        <v>87.915958223072508</v>
      </c>
    </row>
    <row r="57" spans="1:6" ht="30" customHeight="1" x14ac:dyDescent="0.25">
      <c r="A57" s="20" t="s">
        <v>281</v>
      </c>
      <c r="B57" s="2" t="s">
        <v>69</v>
      </c>
      <c r="C57" s="6">
        <v>20851202.449999999</v>
      </c>
      <c r="D57" s="12">
        <f>10801202+2900000</f>
        <v>13701202</v>
      </c>
      <c r="E57" s="28">
        <v>85217224.430000007</v>
      </c>
      <c r="F57" s="32">
        <f t="shared" si="0"/>
        <v>65.709409483000826</v>
      </c>
    </row>
    <row r="58" spans="1:6" ht="30" customHeight="1" x14ac:dyDescent="0.25">
      <c r="A58" s="21" t="s">
        <v>282</v>
      </c>
      <c r="B58" s="23" t="s">
        <v>70</v>
      </c>
      <c r="C58" s="6">
        <v>165480997.27000001</v>
      </c>
      <c r="D58" s="12">
        <f>62131267.22+100680770.05</f>
        <v>162812037.26999998</v>
      </c>
      <c r="E58" s="28">
        <v>157955537</v>
      </c>
      <c r="F58" s="30">
        <f t="shared" si="0"/>
        <v>98.387150159818447</v>
      </c>
    </row>
    <row r="59" spans="1:6" ht="30" customHeight="1" x14ac:dyDescent="0.25">
      <c r="A59" s="21" t="s">
        <v>71</v>
      </c>
      <c r="B59" s="23" t="s">
        <v>72</v>
      </c>
      <c r="C59" s="6">
        <v>26782424.039999999</v>
      </c>
      <c r="D59" s="12">
        <f>6142905.14+20695134.57</f>
        <v>26838039.710000001</v>
      </c>
      <c r="E59" s="6"/>
      <c r="F59" s="30">
        <f t="shared" si="0"/>
        <v>100.20765734243076</v>
      </c>
    </row>
    <row r="60" spans="1:6" ht="30" customHeight="1" x14ac:dyDescent="0.25">
      <c r="A60" s="21" t="s">
        <v>73</v>
      </c>
      <c r="B60" s="23" t="s">
        <v>74</v>
      </c>
      <c r="C60" s="6">
        <v>20899932.23</v>
      </c>
      <c r="D60" s="12">
        <f>10100000+5350000</f>
        <v>15450000</v>
      </c>
      <c r="E60" s="28">
        <v>109650548.72</v>
      </c>
      <c r="F60" s="31">
        <f t="shared" si="0"/>
        <v>73.923684679813917</v>
      </c>
    </row>
    <row r="61" spans="1:6" ht="30" customHeight="1" x14ac:dyDescent="0.25">
      <c r="A61" s="21" t="s">
        <v>283</v>
      </c>
      <c r="B61" s="23" t="s">
        <v>75</v>
      </c>
      <c r="C61" s="6">
        <v>40923055.799999997</v>
      </c>
      <c r="D61" s="12">
        <f>5538831.8+35474471.05</f>
        <v>41013302.849999994</v>
      </c>
      <c r="E61" s="6"/>
      <c r="F61" s="30">
        <f t="shared" si="0"/>
        <v>100.22052861946834</v>
      </c>
    </row>
    <row r="62" spans="1:6" ht="30" customHeight="1" x14ac:dyDescent="0.25">
      <c r="A62" s="20" t="s">
        <v>284</v>
      </c>
      <c r="B62" s="2" t="s">
        <v>76</v>
      </c>
      <c r="C62" s="6">
        <v>46964975.759999998</v>
      </c>
      <c r="D62" s="12">
        <f>11323027.45+35641948.31</f>
        <v>46964975.760000005</v>
      </c>
      <c r="E62" s="6"/>
      <c r="F62" s="30">
        <f t="shared" si="0"/>
        <v>100.00000000000003</v>
      </c>
    </row>
    <row r="63" spans="1:6" ht="30" customHeight="1" x14ac:dyDescent="0.25">
      <c r="A63" s="20" t="s">
        <v>285</v>
      </c>
      <c r="B63" s="2" t="s">
        <v>77</v>
      </c>
      <c r="C63" s="6">
        <v>172617493.88999999</v>
      </c>
      <c r="D63" s="12">
        <f>55615805.56+97200795.92</f>
        <v>152816601.48000002</v>
      </c>
      <c r="E63" s="6"/>
      <c r="F63" s="31">
        <f t="shared" si="0"/>
        <v>88.52903494090927</v>
      </c>
    </row>
    <row r="64" spans="1:6" ht="30" customHeight="1" x14ac:dyDescent="0.25">
      <c r="A64" s="20" t="s">
        <v>286</v>
      </c>
      <c r="B64" s="2" t="s">
        <v>78</v>
      </c>
      <c r="C64" s="22">
        <v>24228834.32</v>
      </c>
      <c r="D64" s="15">
        <f>6650000+15573589</f>
        <v>22223589</v>
      </c>
      <c r="E64" s="14"/>
      <c r="F64" s="30">
        <f t="shared" si="0"/>
        <v>91.723723504334075</v>
      </c>
    </row>
    <row r="65" spans="1:6" ht="30" customHeight="1" x14ac:dyDescent="0.25">
      <c r="A65" s="20" t="s">
        <v>79</v>
      </c>
      <c r="B65" s="2" t="s">
        <v>80</v>
      </c>
      <c r="C65" s="6">
        <v>55406825.039999999</v>
      </c>
      <c r="D65" s="12">
        <f>16400000+39006825.04</f>
        <v>55406825.039999999</v>
      </c>
      <c r="E65" s="6"/>
      <c r="F65" s="30">
        <f t="shared" si="0"/>
        <v>100</v>
      </c>
    </row>
    <row r="66" spans="1:6" ht="30" customHeight="1" x14ac:dyDescent="0.25">
      <c r="A66" s="20" t="s">
        <v>287</v>
      </c>
      <c r="B66" s="2" t="s">
        <v>81</v>
      </c>
      <c r="C66" s="22">
        <v>58010569.439999998</v>
      </c>
      <c r="D66" s="12">
        <f>16900000+41110569.44</f>
        <v>58010569.439999998</v>
      </c>
      <c r="E66" s="6"/>
      <c r="F66" s="30">
        <f t="shared" si="0"/>
        <v>100</v>
      </c>
    </row>
    <row r="67" spans="1:6" ht="30" customHeight="1" x14ac:dyDescent="0.25">
      <c r="A67" s="20" t="s">
        <v>288</v>
      </c>
      <c r="B67" s="2" t="s">
        <v>82</v>
      </c>
      <c r="C67" s="6">
        <v>30857977.149999999</v>
      </c>
      <c r="D67" s="12">
        <f>11655968.91+19202008.24</f>
        <v>30857977.149999999</v>
      </c>
      <c r="E67" s="6"/>
      <c r="F67" s="30">
        <f t="shared" si="0"/>
        <v>100</v>
      </c>
    </row>
    <row r="68" spans="1:6" ht="30" customHeight="1" x14ac:dyDescent="0.25">
      <c r="A68" s="21" t="s">
        <v>289</v>
      </c>
      <c r="B68" s="23" t="s">
        <v>83</v>
      </c>
      <c r="C68" s="6">
        <v>151058581.38</v>
      </c>
      <c r="D68" s="12">
        <f>44733405.44+164357657.58</f>
        <v>209091063.02000001</v>
      </c>
      <c r="E68" s="6"/>
      <c r="F68" s="30">
        <f t="shared" si="0"/>
        <v>138.4172028559004</v>
      </c>
    </row>
    <row r="69" spans="1:6" ht="30" customHeight="1" x14ac:dyDescent="0.25">
      <c r="A69" s="20" t="s">
        <v>290</v>
      </c>
      <c r="B69" s="2" t="s">
        <v>84</v>
      </c>
      <c r="C69" s="14">
        <v>36664097</v>
      </c>
      <c r="D69" s="15">
        <f>23911644.18+12752453</f>
        <v>36664097.18</v>
      </c>
      <c r="E69" s="28">
        <v>73821833.170000002</v>
      </c>
      <c r="F69" s="30">
        <f t="shared" si="0"/>
        <v>100.00000049094349</v>
      </c>
    </row>
    <row r="70" spans="1:6" ht="30" customHeight="1" x14ac:dyDescent="0.25">
      <c r="A70" s="20" t="s">
        <v>85</v>
      </c>
      <c r="B70" s="2" t="s">
        <v>86</v>
      </c>
      <c r="C70" s="14">
        <v>50450000</v>
      </c>
      <c r="D70" s="15">
        <f>18652873.97+31810917.81</f>
        <v>50463791.780000001</v>
      </c>
      <c r="E70" s="14"/>
      <c r="F70" s="30">
        <f t="shared" si="0"/>
        <v>100.02733752229931</v>
      </c>
    </row>
    <row r="71" spans="1:6" ht="30" customHeight="1" x14ac:dyDescent="0.25">
      <c r="A71" s="20" t="s">
        <v>291</v>
      </c>
      <c r="B71" s="2" t="s">
        <v>87</v>
      </c>
      <c r="C71" s="22">
        <v>169904878.13</v>
      </c>
      <c r="D71" s="12">
        <f>36490000+133414878.13</f>
        <v>169904878.13</v>
      </c>
      <c r="E71" s="6"/>
      <c r="F71" s="30">
        <f t="shared" si="0"/>
        <v>100</v>
      </c>
    </row>
    <row r="72" spans="1:6" ht="30" customHeight="1" x14ac:dyDescent="0.25">
      <c r="A72" s="20" t="s">
        <v>292</v>
      </c>
      <c r="B72" s="2" t="s">
        <v>88</v>
      </c>
      <c r="C72" s="22">
        <v>105923539.76000001</v>
      </c>
      <c r="D72" s="12">
        <f>30149772.09+76745931.03</f>
        <v>106895703.12</v>
      </c>
      <c r="E72" s="6"/>
      <c r="F72" s="30">
        <f t="shared" ref="F72:F132" si="1">D72*100/C72</f>
        <v>100.9177972735831</v>
      </c>
    </row>
    <row r="73" spans="1:6" ht="30" customHeight="1" x14ac:dyDescent="0.25">
      <c r="A73" s="20" t="s">
        <v>293</v>
      </c>
      <c r="B73" s="2" t="s">
        <v>89</v>
      </c>
      <c r="C73" s="22">
        <v>134764550.81</v>
      </c>
      <c r="D73" s="12">
        <f>68450686.95+66313863.86</f>
        <v>134764550.81</v>
      </c>
      <c r="E73" s="6"/>
      <c r="F73" s="30">
        <f t="shared" si="1"/>
        <v>100</v>
      </c>
    </row>
    <row r="74" spans="1:6" ht="30" customHeight="1" x14ac:dyDescent="0.25">
      <c r="A74" s="20" t="s">
        <v>294</v>
      </c>
      <c r="B74" s="2" t="s">
        <v>90</v>
      </c>
      <c r="C74" s="22">
        <v>33876854.219999999</v>
      </c>
      <c r="D74" s="15">
        <f>10324032.8+23552821.42</f>
        <v>33876854.219999999</v>
      </c>
      <c r="E74" s="14"/>
      <c r="F74" s="30">
        <f t="shared" si="1"/>
        <v>100</v>
      </c>
    </row>
    <row r="75" spans="1:6" ht="30" customHeight="1" x14ac:dyDescent="0.25">
      <c r="A75" s="20" t="s">
        <v>295</v>
      </c>
      <c r="B75" s="2" t="s">
        <v>91</v>
      </c>
      <c r="C75" s="22">
        <v>43226796</v>
      </c>
      <c r="D75" s="13">
        <f>41226796.73+2000000</f>
        <v>43226796.729999997</v>
      </c>
      <c r="E75" s="6"/>
      <c r="F75" s="30">
        <f t="shared" si="1"/>
        <v>100.00000168876731</v>
      </c>
    </row>
    <row r="76" spans="1:6" ht="30" customHeight="1" x14ac:dyDescent="0.25">
      <c r="A76" s="20" t="s">
        <v>296</v>
      </c>
      <c r="B76" s="2" t="s">
        <v>92</v>
      </c>
      <c r="C76" s="22">
        <v>54255303.079999998</v>
      </c>
      <c r="D76" s="12">
        <f>24750000+29255303.08</f>
        <v>54005303.079999998</v>
      </c>
      <c r="E76" s="6"/>
      <c r="F76" s="30">
        <f t="shared" si="1"/>
        <v>99.539215549802805</v>
      </c>
    </row>
    <row r="77" spans="1:6" ht="30" customHeight="1" x14ac:dyDescent="0.25">
      <c r="A77" s="21" t="s">
        <v>297</v>
      </c>
      <c r="B77" s="23" t="s">
        <v>93</v>
      </c>
      <c r="C77" s="22">
        <v>90482069.239999995</v>
      </c>
      <c r="D77" s="13">
        <f>15314744+5850000</f>
        <v>21164744</v>
      </c>
      <c r="E77" s="28">
        <v>72894199.819999993</v>
      </c>
      <c r="F77" s="32">
        <f t="shared" si="1"/>
        <v>23.391091934316158</v>
      </c>
    </row>
    <row r="78" spans="1:6" ht="30" customHeight="1" x14ac:dyDescent="0.25">
      <c r="A78" s="20" t="s">
        <v>94</v>
      </c>
      <c r="B78" s="2" t="s">
        <v>95</v>
      </c>
      <c r="C78" s="22">
        <v>153315851.06999999</v>
      </c>
      <c r="D78" s="12">
        <f>42804297+110511554.07</f>
        <v>153315851.06999999</v>
      </c>
      <c r="E78" s="28">
        <v>79261845.209999993</v>
      </c>
      <c r="F78" s="30">
        <f t="shared" si="1"/>
        <v>100</v>
      </c>
    </row>
    <row r="79" spans="1:6" ht="30" customHeight="1" x14ac:dyDescent="0.25">
      <c r="A79" s="20" t="s">
        <v>96</v>
      </c>
      <c r="B79" s="2" t="s">
        <v>97</v>
      </c>
      <c r="C79" s="6">
        <v>50819131.5</v>
      </c>
      <c r="D79" s="12">
        <f>9689112.68+41130018.82</f>
        <v>50819131.5</v>
      </c>
      <c r="E79" s="6"/>
      <c r="F79" s="30">
        <f t="shared" si="1"/>
        <v>100</v>
      </c>
    </row>
    <row r="80" spans="1:6" ht="30" customHeight="1" x14ac:dyDescent="0.25">
      <c r="A80" s="20" t="s">
        <v>98</v>
      </c>
      <c r="B80" s="2" t="s">
        <v>99</v>
      </c>
      <c r="C80" s="6">
        <v>45883646.859999999</v>
      </c>
      <c r="D80" s="12">
        <f>11932501.54+34065737.32</f>
        <v>45998238.859999999</v>
      </c>
      <c r="E80" s="6"/>
      <c r="F80" s="30">
        <f t="shared" si="1"/>
        <v>100.24974475187128</v>
      </c>
    </row>
    <row r="81" spans="1:6" ht="30" customHeight="1" x14ac:dyDescent="0.25">
      <c r="A81" s="20" t="s">
        <v>298</v>
      </c>
      <c r="B81" s="2" t="s">
        <v>100</v>
      </c>
      <c r="C81" s="6">
        <v>31404401.120000001</v>
      </c>
      <c r="D81" s="12">
        <f>10591207.39+19357657.88</f>
        <v>29948865.27</v>
      </c>
      <c r="E81" s="6"/>
      <c r="F81" s="30">
        <f t="shared" si="1"/>
        <v>95.365185139375143</v>
      </c>
    </row>
    <row r="82" spans="1:6" ht="30" customHeight="1" x14ac:dyDescent="0.25">
      <c r="A82" s="21" t="s">
        <v>299</v>
      </c>
      <c r="B82" s="23" t="s">
        <v>101</v>
      </c>
      <c r="C82" s="6">
        <v>284407711</v>
      </c>
      <c r="D82" s="12">
        <f>93205161.93+46570240.68</f>
        <v>139775402.61000001</v>
      </c>
      <c r="E82" s="28">
        <v>147901375.00999999</v>
      </c>
      <c r="F82" s="32">
        <f t="shared" si="1"/>
        <v>49.146136762093633</v>
      </c>
    </row>
    <row r="83" spans="1:6" ht="30" customHeight="1" x14ac:dyDescent="0.25">
      <c r="A83" s="20" t="s">
        <v>300</v>
      </c>
      <c r="B83" s="2" t="s">
        <v>102</v>
      </c>
      <c r="C83" s="22">
        <v>99537390</v>
      </c>
      <c r="D83" s="12">
        <f>27918187.8+79619198.79</f>
        <v>107537386.59</v>
      </c>
      <c r="E83" s="6"/>
      <c r="F83" s="30">
        <f t="shared" si="1"/>
        <v>108.03717737626032</v>
      </c>
    </row>
    <row r="84" spans="1:6" ht="30" customHeight="1" x14ac:dyDescent="0.25">
      <c r="A84" s="20" t="s">
        <v>301</v>
      </c>
      <c r="B84" s="2" t="s">
        <v>103</v>
      </c>
      <c r="C84" s="22">
        <v>89453480.530000001</v>
      </c>
      <c r="D84" s="12">
        <f>36025655.01+53427825.52</f>
        <v>89453480.530000001</v>
      </c>
      <c r="E84" s="6"/>
      <c r="F84" s="30">
        <f t="shared" si="1"/>
        <v>100</v>
      </c>
    </row>
    <row r="85" spans="1:6" ht="30" customHeight="1" x14ac:dyDescent="0.25">
      <c r="A85" s="20" t="s">
        <v>104</v>
      </c>
      <c r="B85" s="2" t="s">
        <v>105</v>
      </c>
      <c r="C85" s="22">
        <v>41185274</v>
      </c>
      <c r="D85" s="12">
        <f>14100000+27085274.09</f>
        <v>41185274.090000004</v>
      </c>
      <c r="E85" s="6"/>
      <c r="F85" s="30">
        <f t="shared" si="1"/>
        <v>100.00000021852472</v>
      </c>
    </row>
    <row r="86" spans="1:6" ht="30" customHeight="1" x14ac:dyDescent="0.25">
      <c r="A86" s="20" t="s">
        <v>302</v>
      </c>
      <c r="B86" s="2" t="s">
        <v>106</v>
      </c>
      <c r="C86" s="22">
        <v>50010024.530000001</v>
      </c>
      <c r="D86" s="12">
        <f>13150000+39110024.53</f>
        <v>52260024.530000001</v>
      </c>
      <c r="E86" s="6"/>
      <c r="F86" s="30">
        <f t="shared" si="1"/>
        <v>104.4990979731479</v>
      </c>
    </row>
    <row r="87" spans="1:6" ht="30" customHeight="1" x14ac:dyDescent="0.25">
      <c r="A87" s="20" t="s">
        <v>303</v>
      </c>
      <c r="B87" s="2" t="s">
        <v>107</v>
      </c>
      <c r="C87" s="27">
        <v>45027181.859999999</v>
      </c>
      <c r="D87" s="11">
        <f>8906399+29946356</f>
        <v>38852755</v>
      </c>
      <c r="E87" s="6"/>
      <c r="F87" s="31">
        <f t="shared" si="1"/>
        <v>86.287334439011232</v>
      </c>
    </row>
    <row r="88" spans="1:6" ht="30" customHeight="1" x14ac:dyDescent="0.25">
      <c r="A88" s="20" t="s">
        <v>304</v>
      </c>
      <c r="B88" s="2" t="s">
        <v>108</v>
      </c>
      <c r="C88" s="22">
        <v>72945408.549999997</v>
      </c>
      <c r="D88" s="12">
        <f>18568896.23+53717254.84</f>
        <v>72286151.070000008</v>
      </c>
      <c r="E88" s="6"/>
      <c r="F88" s="30">
        <f t="shared" si="1"/>
        <v>99.096231698328069</v>
      </c>
    </row>
    <row r="89" spans="1:6" ht="30" customHeight="1" x14ac:dyDescent="0.25">
      <c r="A89" s="20" t="s">
        <v>305</v>
      </c>
      <c r="B89" s="2" t="s">
        <v>109</v>
      </c>
      <c r="C89" s="6">
        <v>85526960</v>
      </c>
      <c r="D89" s="12">
        <f>16011191.78+67915768.22</f>
        <v>83926960</v>
      </c>
      <c r="E89" s="6"/>
      <c r="F89" s="30">
        <f t="shared" si="1"/>
        <v>98.129244860334097</v>
      </c>
    </row>
    <row r="90" spans="1:6" ht="30" customHeight="1" x14ac:dyDescent="0.25">
      <c r="A90" s="20" t="s">
        <v>306</v>
      </c>
      <c r="B90" s="2" t="s">
        <v>110</v>
      </c>
      <c r="C90" s="6">
        <v>46770812</v>
      </c>
      <c r="D90" s="12">
        <f>6150000+7937790</f>
        <v>14087790</v>
      </c>
      <c r="E90" s="28">
        <v>32683022.960000001</v>
      </c>
      <c r="F90" s="32">
        <f t="shared" si="1"/>
        <v>30.120901044010097</v>
      </c>
    </row>
    <row r="91" spans="1:6" ht="30" customHeight="1" x14ac:dyDescent="0.25">
      <c r="A91" s="20" t="s">
        <v>111</v>
      </c>
      <c r="B91" s="2" t="s">
        <v>112</v>
      </c>
      <c r="C91" s="22">
        <v>35696579.850000001</v>
      </c>
      <c r="D91" s="12">
        <f>5900000+27807669.69</f>
        <v>33707669.689999998</v>
      </c>
      <c r="E91" s="6"/>
      <c r="F91" s="30">
        <f t="shared" si="1"/>
        <v>94.428289297300836</v>
      </c>
    </row>
    <row r="92" spans="1:6" ht="30" customHeight="1" x14ac:dyDescent="0.25">
      <c r="A92" s="20" t="s">
        <v>307</v>
      </c>
      <c r="B92" s="2" t="s">
        <v>113</v>
      </c>
      <c r="C92" s="22">
        <v>8450000</v>
      </c>
      <c r="D92" s="12">
        <f>1798907.71+2250000</f>
        <v>4048907.71</v>
      </c>
      <c r="E92" s="28">
        <v>25736897.07</v>
      </c>
      <c r="F92" s="32">
        <f t="shared" si="1"/>
        <v>47.916067573964497</v>
      </c>
    </row>
    <row r="93" spans="1:6" ht="30" customHeight="1" x14ac:dyDescent="0.25">
      <c r="A93" s="20" t="s">
        <v>308</v>
      </c>
      <c r="B93" s="2" t="s">
        <v>114</v>
      </c>
      <c r="C93" s="22">
        <v>133502116.06999999</v>
      </c>
      <c r="D93" s="12">
        <f>24100000+95090111</f>
        <v>119190111</v>
      </c>
      <c r="E93" s="6"/>
      <c r="F93" s="31">
        <f t="shared" si="1"/>
        <v>89.279566877804626</v>
      </c>
    </row>
    <row r="94" spans="1:6" ht="30" customHeight="1" x14ac:dyDescent="0.25">
      <c r="A94" s="20" t="s">
        <v>309</v>
      </c>
      <c r="B94" s="2" t="s">
        <v>115</v>
      </c>
      <c r="C94" s="22">
        <v>40573097.719999999</v>
      </c>
      <c r="D94" s="12">
        <f>5307987.14+34377919.38</f>
        <v>39685906.520000003</v>
      </c>
      <c r="E94" s="6"/>
      <c r="F94" s="30">
        <f t="shared" si="1"/>
        <v>97.813351087652677</v>
      </c>
    </row>
    <row r="95" spans="1:6" ht="30" customHeight="1" x14ac:dyDescent="0.25">
      <c r="A95" s="20" t="s">
        <v>310</v>
      </c>
      <c r="B95" s="2" t="s">
        <v>116</v>
      </c>
      <c r="C95" s="6">
        <v>70505888.219999999</v>
      </c>
      <c r="D95" s="12">
        <f>33634107.41+36871780.81</f>
        <v>70505888.219999999</v>
      </c>
      <c r="E95" s="6"/>
      <c r="F95" s="30">
        <f t="shared" si="1"/>
        <v>100</v>
      </c>
    </row>
    <row r="96" spans="1:6" ht="30" customHeight="1" x14ac:dyDescent="0.25">
      <c r="A96" s="20" t="s">
        <v>311</v>
      </c>
      <c r="B96" s="2" t="s">
        <v>117</v>
      </c>
      <c r="C96" s="22">
        <v>33600000</v>
      </c>
      <c r="D96" s="12">
        <v>0</v>
      </c>
      <c r="E96" s="28">
        <v>25997972.039999999</v>
      </c>
      <c r="F96" s="32">
        <f t="shared" si="1"/>
        <v>0</v>
      </c>
    </row>
    <row r="97" spans="1:6" ht="30" customHeight="1" x14ac:dyDescent="0.25">
      <c r="A97" s="20" t="s">
        <v>312</v>
      </c>
      <c r="B97" s="2" t="s">
        <v>118</v>
      </c>
      <c r="C97" s="22">
        <v>85357027.379999995</v>
      </c>
      <c r="D97" s="12">
        <f>20134587+58364044</f>
        <v>78498631</v>
      </c>
      <c r="E97" s="6"/>
      <c r="F97" s="30">
        <f t="shared" si="1"/>
        <v>91.965047764061438</v>
      </c>
    </row>
    <row r="98" spans="1:6" ht="30" customHeight="1" x14ac:dyDescent="0.25">
      <c r="A98" s="20" t="s">
        <v>313</v>
      </c>
      <c r="B98" s="2" t="s">
        <v>119</v>
      </c>
      <c r="C98" s="22">
        <v>46777172</v>
      </c>
      <c r="D98" s="12">
        <f>8350001+38427171.26</f>
        <v>46777172.259999998</v>
      </c>
      <c r="E98" s="6"/>
      <c r="F98" s="30">
        <f t="shared" si="1"/>
        <v>100.00000055582667</v>
      </c>
    </row>
    <row r="99" spans="1:6" ht="30" customHeight="1" x14ac:dyDescent="0.25">
      <c r="A99" s="20" t="s">
        <v>314</v>
      </c>
      <c r="B99" s="2" t="s">
        <v>120</v>
      </c>
      <c r="C99" s="22">
        <v>144048768.84</v>
      </c>
      <c r="D99" s="12">
        <f>53926594.78+88662978.06</f>
        <v>142589572.84</v>
      </c>
      <c r="E99" s="6"/>
      <c r="F99" s="30">
        <f t="shared" si="1"/>
        <v>98.987012515448299</v>
      </c>
    </row>
    <row r="100" spans="1:6" ht="30" customHeight="1" x14ac:dyDescent="0.25">
      <c r="A100" s="20" t="s">
        <v>315</v>
      </c>
      <c r="B100" s="2" t="s">
        <v>121</v>
      </c>
      <c r="C100" s="6">
        <v>26691716</v>
      </c>
      <c r="D100" s="12">
        <f>8225126.34+35666589.59</f>
        <v>43891715.930000007</v>
      </c>
      <c r="E100" s="28">
        <v>8000000</v>
      </c>
      <c r="F100" s="30">
        <f t="shared" si="1"/>
        <v>164.4394685227432</v>
      </c>
    </row>
    <row r="101" spans="1:6" ht="30" customHeight="1" x14ac:dyDescent="0.25">
      <c r="A101" s="20" t="s">
        <v>316</v>
      </c>
      <c r="B101" s="2" t="s">
        <v>122</v>
      </c>
      <c r="C101" s="6">
        <v>20650000</v>
      </c>
      <c r="D101" s="12">
        <f>5800000+13700000</f>
        <v>19500000</v>
      </c>
      <c r="E101" s="6"/>
      <c r="F101" s="30">
        <f t="shared" si="1"/>
        <v>94.430992736077485</v>
      </c>
    </row>
    <row r="102" spans="1:6" ht="30" customHeight="1" x14ac:dyDescent="0.25">
      <c r="A102" s="20" t="s">
        <v>123</v>
      </c>
      <c r="B102" s="2" t="s">
        <v>124</v>
      </c>
      <c r="C102" s="6">
        <v>35422030</v>
      </c>
      <c r="D102" s="12">
        <f>7412875+27859155</f>
        <v>35272030</v>
      </c>
      <c r="E102" s="6"/>
      <c r="F102" s="30">
        <f t="shared" si="1"/>
        <v>99.576534715825147</v>
      </c>
    </row>
    <row r="103" spans="1:6" ht="30" customHeight="1" x14ac:dyDescent="0.25">
      <c r="A103" s="20" t="s">
        <v>317</v>
      </c>
      <c r="B103" s="2" t="s">
        <v>125</v>
      </c>
      <c r="C103" s="22">
        <v>41859646</v>
      </c>
      <c r="D103" s="13">
        <f>9100000+29777358.91</f>
        <v>38877358.909999996</v>
      </c>
      <c r="E103" s="6"/>
      <c r="F103" s="30">
        <f t="shared" si="1"/>
        <v>92.875508096747865</v>
      </c>
    </row>
    <row r="104" spans="1:6" ht="30" customHeight="1" x14ac:dyDescent="0.25">
      <c r="A104" s="20" t="s">
        <v>318</v>
      </c>
      <c r="B104" s="2" t="s">
        <v>126</v>
      </c>
      <c r="C104" s="22">
        <v>11272326</v>
      </c>
      <c r="D104" s="12">
        <f>4966879.95+6312009.4</f>
        <v>11278889.350000001</v>
      </c>
      <c r="E104" s="28">
        <v>12000000</v>
      </c>
      <c r="F104" s="30">
        <f t="shared" si="1"/>
        <v>100.05822533876329</v>
      </c>
    </row>
    <row r="105" spans="1:6" ht="30" customHeight="1" x14ac:dyDescent="0.25">
      <c r="A105" s="20" t="s">
        <v>319</v>
      </c>
      <c r="B105" s="2" t="s">
        <v>127</v>
      </c>
      <c r="C105" s="6">
        <v>40289698.789999999</v>
      </c>
      <c r="D105" s="12">
        <f>9900000+28560730</f>
        <v>38460730</v>
      </c>
      <c r="E105" s="6"/>
      <c r="F105" s="30">
        <f t="shared" si="1"/>
        <v>95.460455538441622</v>
      </c>
    </row>
    <row r="106" spans="1:6" ht="30" customHeight="1" x14ac:dyDescent="0.25">
      <c r="A106" s="20" t="s">
        <v>320</v>
      </c>
      <c r="B106" s="2" t="s">
        <v>128</v>
      </c>
      <c r="C106" s="6">
        <v>67419680.859999999</v>
      </c>
      <c r="D106" s="13">
        <f>13900652.39+53519118.47</f>
        <v>67419770.859999999</v>
      </c>
      <c r="E106" s="6"/>
      <c r="F106" s="30">
        <f t="shared" si="1"/>
        <v>100.00013349217744</v>
      </c>
    </row>
    <row r="107" spans="1:6" ht="30" customHeight="1" x14ac:dyDescent="0.25">
      <c r="A107" s="20" t="s">
        <v>321</v>
      </c>
      <c r="B107" s="2" t="s">
        <v>129</v>
      </c>
      <c r="C107" s="6">
        <v>58429502.049999997</v>
      </c>
      <c r="D107" s="12">
        <f>750662.86+54799115.63</f>
        <v>55549778.490000002</v>
      </c>
      <c r="E107" s="6"/>
      <c r="F107" s="30">
        <f t="shared" si="1"/>
        <v>95.071456269581546</v>
      </c>
    </row>
    <row r="108" spans="1:6" ht="30" customHeight="1" x14ac:dyDescent="0.25">
      <c r="A108" s="20" t="s">
        <v>322</v>
      </c>
      <c r="B108" s="2" t="s">
        <v>130</v>
      </c>
      <c r="C108" s="6">
        <v>43357887.619999997</v>
      </c>
      <c r="D108" s="12">
        <f>16857916+20544709</f>
        <v>37402625</v>
      </c>
      <c r="E108" s="6"/>
      <c r="F108" s="31">
        <f t="shared" si="1"/>
        <v>86.264869100188889</v>
      </c>
    </row>
    <row r="109" spans="1:6" ht="30" customHeight="1" x14ac:dyDescent="0.25">
      <c r="A109" s="20" t="s">
        <v>323</v>
      </c>
      <c r="B109" s="2" t="s">
        <v>131</v>
      </c>
      <c r="C109" s="22">
        <v>43000000</v>
      </c>
      <c r="D109" s="12">
        <f>9800000+31934360.05</f>
        <v>41734360.049999997</v>
      </c>
      <c r="E109" s="6"/>
      <c r="F109" s="30">
        <f t="shared" si="1"/>
        <v>97.056651279069754</v>
      </c>
    </row>
    <row r="110" spans="1:6" ht="30" customHeight="1" x14ac:dyDescent="0.25">
      <c r="A110" s="20" t="s">
        <v>132</v>
      </c>
      <c r="B110" s="2" t="s">
        <v>133</v>
      </c>
      <c r="C110" s="22">
        <v>35609576.979999997</v>
      </c>
      <c r="D110" s="12">
        <f>14442227.15+20922015.16</f>
        <v>35364242.310000002</v>
      </c>
      <c r="E110" s="6"/>
      <c r="F110" s="30">
        <f t="shared" si="1"/>
        <v>99.311043009194435</v>
      </c>
    </row>
    <row r="111" spans="1:6" ht="30" customHeight="1" x14ac:dyDescent="0.25">
      <c r="A111" s="20" t="s">
        <v>134</v>
      </c>
      <c r="B111" s="2" t="s">
        <v>135</v>
      </c>
      <c r="C111" s="22">
        <v>104488473.26000001</v>
      </c>
      <c r="D111" s="12">
        <f>24561634.53+72621551.3</f>
        <v>97183185.829999998</v>
      </c>
      <c r="E111" s="6"/>
      <c r="F111" s="30">
        <f t="shared" si="1"/>
        <v>93.008523139368521</v>
      </c>
    </row>
    <row r="112" spans="1:6" ht="30" customHeight="1" x14ac:dyDescent="0.25">
      <c r="A112" s="21" t="s">
        <v>324</v>
      </c>
      <c r="B112" s="23" t="s">
        <v>136</v>
      </c>
      <c r="C112" s="6">
        <v>90236913.390000001</v>
      </c>
      <c r="D112" s="12">
        <f>27900000+51986913</f>
        <v>79886913</v>
      </c>
      <c r="E112" s="6"/>
      <c r="F112" s="31">
        <f t="shared" si="1"/>
        <v>88.530192355685145</v>
      </c>
    </row>
    <row r="113" spans="1:6" ht="30" customHeight="1" x14ac:dyDescent="0.25">
      <c r="A113" s="20" t="s">
        <v>325</v>
      </c>
      <c r="B113" s="2" t="s">
        <v>137</v>
      </c>
      <c r="C113" s="6">
        <v>96718975.420000002</v>
      </c>
      <c r="D113" s="12">
        <f>17477964.26+78569018.58</f>
        <v>96046982.840000004</v>
      </c>
      <c r="E113" s="6"/>
      <c r="F113" s="30">
        <f t="shared" si="1"/>
        <v>99.30521122966627</v>
      </c>
    </row>
    <row r="114" spans="1:6" ht="30" customHeight="1" x14ac:dyDescent="0.25">
      <c r="A114" s="20" t="s">
        <v>326</v>
      </c>
      <c r="B114" s="2" t="s">
        <v>138</v>
      </c>
      <c r="C114" s="6">
        <v>43150294.460000001</v>
      </c>
      <c r="D114" s="12">
        <f>13995048.26+29305246.2</f>
        <v>43300294.460000001</v>
      </c>
      <c r="E114" s="6"/>
      <c r="F114" s="30">
        <f t="shared" si="1"/>
        <v>100.34762219325999</v>
      </c>
    </row>
    <row r="115" spans="1:6" ht="30" customHeight="1" x14ac:dyDescent="0.25">
      <c r="A115" s="20" t="s">
        <v>327</v>
      </c>
      <c r="B115" s="2" t="s">
        <v>139</v>
      </c>
      <c r="C115" s="22">
        <v>31135545.52</v>
      </c>
      <c r="D115" s="12">
        <f>6400000+23910740.38</f>
        <v>30310740.379999999</v>
      </c>
      <c r="E115" s="6"/>
      <c r="F115" s="30">
        <f t="shared" si="1"/>
        <v>97.350921185979601</v>
      </c>
    </row>
    <row r="116" spans="1:6" ht="30" customHeight="1" x14ac:dyDescent="0.25">
      <c r="A116" s="20" t="s">
        <v>328</v>
      </c>
      <c r="B116" s="2" t="s">
        <v>140</v>
      </c>
      <c r="C116" s="22">
        <v>50151588.380000003</v>
      </c>
      <c r="D116" s="12">
        <f>5526968.84+22312309.77</f>
        <v>27839278.609999999</v>
      </c>
      <c r="E116" s="6"/>
      <c r="F116" s="32">
        <f t="shared" si="1"/>
        <v>55.510263003159537</v>
      </c>
    </row>
    <row r="117" spans="1:6" ht="30" customHeight="1" x14ac:dyDescent="0.25">
      <c r="A117" s="20" t="s">
        <v>329</v>
      </c>
      <c r="B117" s="2" t="s">
        <v>141</v>
      </c>
      <c r="C117" s="22">
        <v>12492573.439999999</v>
      </c>
      <c r="D117" s="12">
        <f>5151750.66+7149218.4</f>
        <v>12300969.060000001</v>
      </c>
      <c r="E117" s="28">
        <v>30719912.34</v>
      </c>
      <c r="F117" s="30">
        <f t="shared" si="1"/>
        <v>98.466253723300113</v>
      </c>
    </row>
    <row r="118" spans="1:6" ht="30" customHeight="1" x14ac:dyDescent="0.25">
      <c r="A118" s="20" t="s">
        <v>330</v>
      </c>
      <c r="B118" s="2" t="s">
        <v>142</v>
      </c>
      <c r="C118" s="22">
        <v>49169910.490000002</v>
      </c>
      <c r="D118" s="10">
        <f>18683682.35+29536228.14</f>
        <v>48219910.490000002</v>
      </c>
      <c r="E118" s="28">
        <v>25540947.510000002</v>
      </c>
      <c r="F118" s="30">
        <f t="shared" si="1"/>
        <v>98.06792408094131</v>
      </c>
    </row>
    <row r="119" spans="1:6" ht="30" customHeight="1" x14ac:dyDescent="0.25">
      <c r="A119" s="21" t="s">
        <v>143</v>
      </c>
      <c r="B119" s="23" t="s">
        <v>144</v>
      </c>
      <c r="C119" s="6">
        <v>45669616</v>
      </c>
      <c r="D119" s="12">
        <f>8300346.18+34034661.35</f>
        <v>42335007.530000001</v>
      </c>
      <c r="E119" s="6"/>
      <c r="F119" s="30">
        <f t="shared" si="1"/>
        <v>92.698409222446713</v>
      </c>
    </row>
    <row r="120" spans="1:6" ht="30" customHeight="1" x14ac:dyDescent="0.25">
      <c r="A120" s="21" t="s">
        <v>331</v>
      </c>
      <c r="B120" s="23" t="s">
        <v>145</v>
      </c>
      <c r="C120" s="6">
        <v>31814921.579999998</v>
      </c>
      <c r="D120" s="12">
        <v>4042274</v>
      </c>
      <c r="E120" s="28">
        <v>27430411.280000001</v>
      </c>
      <c r="F120" s="32">
        <f t="shared" si="1"/>
        <v>12.705591588008561</v>
      </c>
    </row>
    <row r="121" spans="1:6" ht="30" customHeight="1" x14ac:dyDescent="0.25">
      <c r="A121" s="21" t="s">
        <v>332</v>
      </c>
      <c r="B121" s="23" t="s">
        <v>146</v>
      </c>
      <c r="C121" s="6">
        <v>113689840.91</v>
      </c>
      <c r="D121" s="13">
        <f>12994852.49+83310331.9</f>
        <v>96305184.390000001</v>
      </c>
      <c r="E121" s="6"/>
      <c r="F121" s="31">
        <f t="shared" si="1"/>
        <v>84.708698349079256</v>
      </c>
    </row>
    <row r="122" spans="1:6" ht="30" customHeight="1" x14ac:dyDescent="0.25">
      <c r="A122" s="20" t="s">
        <v>333</v>
      </c>
      <c r="B122" s="2" t="s">
        <v>147</v>
      </c>
      <c r="C122" s="6">
        <v>113329760.83</v>
      </c>
      <c r="D122" s="12">
        <f>40060964.38+73268796.45</f>
        <v>113329760.83000001</v>
      </c>
      <c r="E122" s="6"/>
      <c r="F122" s="30">
        <f t="shared" si="1"/>
        <v>100.00000000000001</v>
      </c>
    </row>
    <row r="123" spans="1:6" ht="30" customHeight="1" x14ac:dyDescent="0.25">
      <c r="A123" s="20" t="s">
        <v>334</v>
      </c>
      <c r="B123" s="2" t="s">
        <v>148</v>
      </c>
      <c r="C123" s="22">
        <v>225159042</v>
      </c>
      <c r="D123" s="12">
        <f>69159424.17+162542003.35</f>
        <v>231701427.51999998</v>
      </c>
      <c r="E123" s="6"/>
      <c r="F123" s="30">
        <f t="shared" si="1"/>
        <v>102.90567301312288</v>
      </c>
    </row>
    <row r="124" spans="1:6" ht="30" customHeight="1" x14ac:dyDescent="0.25">
      <c r="A124" s="20" t="s">
        <v>246</v>
      </c>
      <c r="B124" s="2" t="s">
        <v>149</v>
      </c>
      <c r="C124" s="22">
        <v>43332568.039999999</v>
      </c>
      <c r="D124" s="12">
        <f>10950000+22561534.59</f>
        <v>33511534.59</v>
      </c>
      <c r="E124" s="6"/>
      <c r="F124" s="31">
        <f t="shared" si="1"/>
        <v>77.335676387943892</v>
      </c>
    </row>
    <row r="125" spans="1:6" ht="30" customHeight="1" x14ac:dyDescent="0.25">
      <c r="A125" s="20" t="s">
        <v>245</v>
      </c>
      <c r="B125" s="2" t="s">
        <v>150</v>
      </c>
      <c r="C125" s="22">
        <v>38752061.049999997</v>
      </c>
      <c r="D125" s="12">
        <f>6049299.96+32177099.79</f>
        <v>38226399.75</v>
      </c>
      <c r="E125" s="6"/>
      <c r="F125" s="30">
        <f t="shared" si="1"/>
        <v>98.643526858295971</v>
      </c>
    </row>
    <row r="126" spans="1:6" ht="30" customHeight="1" x14ac:dyDescent="0.25">
      <c r="A126" s="20" t="s">
        <v>338</v>
      </c>
      <c r="B126" s="2" t="s">
        <v>151</v>
      </c>
      <c r="C126" s="22">
        <v>44624694.509999998</v>
      </c>
      <c r="D126" s="12">
        <f>10221730.06+33302964.45</f>
        <v>43524694.509999998</v>
      </c>
      <c r="E126" s="6"/>
      <c r="F126" s="30">
        <f t="shared" si="1"/>
        <v>97.534997130896883</v>
      </c>
    </row>
    <row r="127" spans="1:6" ht="30" customHeight="1" x14ac:dyDescent="0.25">
      <c r="A127" s="21" t="s">
        <v>244</v>
      </c>
      <c r="B127" s="23" t="s">
        <v>152</v>
      </c>
      <c r="C127" s="6">
        <v>23792104.57</v>
      </c>
      <c r="D127" s="12">
        <f>13033108.23+10708996.34</f>
        <v>23742104.57</v>
      </c>
      <c r="E127" s="6"/>
      <c r="F127" s="30">
        <f t="shared" si="1"/>
        <v>99.789846249822531</v>
      </c>
    </row>
    <row r="128" spans="1:6" ht="30" customHeight="1" x14ac:dyDescent="0.25">
      <c r="A128" s="20" t="s">
        <v>243</v>
      </c>
      <c r="B128" s="2" t="s">
        <v>153</v>
      </c>
      <c r="C128" s="6">
        <v>44870415.950000003</v>
      </c>
      <c r="D128" s="13">
        <f>10966375+30256165.06</f>
        <v>41222540.060000002</v>
      </c>
      <c r="E128" s="6"/>
      <c r="F128" s="30">
        <f t="shared" si="1"/>
        <v>91.870198185671143</v>
      </c>
    </row>
    <row r="129" spans="1:6" ht="30" customHeight="1" x14ac:dyDescent="0.25">
      <c r="A129" s="20" t="s">
        <v>335</v>
      </c>
      <c r="B129" s="2" t="s">
        <v>154</v>
      </c>
      <c r="C129" s="22">
        <v>85455753.420000002</v>
      </c>
      <c r="D129" s="12">
        <f>27251952.05+52403801.37</f>
        <v>79655753.420000002</v>
      </c>
      <c r="E129" s="6"/>
      <c r="F129" s="30">
        <f t="shared" si="1"/>
        <v>93.212861898842519</v>
      </c>
    </row>
    <row r="130" spans="1:6" ht="30" customHeight="1" x14ac:dyDescent="0.25">
      <c r="A130" s="21" t="s">
        <v>336</v>
      </c>
      <c r="B130" s="23" t="s">
        <v>155</v>
      </c>
      <c r="C130" s="22">
        <v>118270400</v>
      </c>
      <c r="D130" s="12">
        <f>31747615.07+29758787.2</f>
        <v>61506402.269999996</v>
      </c>
      <c r="E130" s="28">
        <v>57108197.729999997</v>
      </c>
      <c r="F130" s="32">
        <f t="shared" si="1"/>
        <v>52.004899171728511</v>
      </c>
    </row>
    <row r="131" spans="1:6" ht="30" customHeight="1" x14ac:dyDescent="0.25">
      <c r="A131" s="21" t="s">
        <v>156</v>
      </c>
      <c r="B131" s="23" t="s">
        <v>157</v>
      </c>
      <c r="C131" s="22">
        <v>84370999.480000004</v>
      </c>
      <c r="D131" s="12">
        <f>11050000+129517291.79</f>
        <v>140567291.79000002</v>
      </c>
      <c r="E131" s="6"/>
      <c r="F131" s="30">
        <f t="shared" si="1"/>
        <v>166.60617114453083</v>
      </c>
    </row>
    <row r="132" spans="1:6" ht="30" customHeight="1" x14ac:dyDescent="0.25">
      <c r="A132" s="20" t="s">
        <v>242</v>
      </c>
      <c r="B132" s="2" t="s">
        <v>158</v>
      </c>
      <c r="C132" s="22">
        <v>38307568.310000002</v>
      </c>
      <c r="D132" s="12">
        <f>18700550.54+17335371.56</f>
        <v>36035922.099999994</v>
      </c>
      <c r="E132" s="6"/>
      <c r="F132" s="30">
        <f t="shared" si="1"/>
        <v>94.069980658607861</v>
      </c>
    </row>
    <row r="133" spans="1:6" ht="30" customHeight="1" x14ac:dyDescent="0.25">
      <c r="A133" s="20" t="s">
        <v>241</v>
      </c>
      <c r="B133" s="2" t="s">
        <v>159</v>
      </c>
      <c r="C133" s="22">
        <v>42422131.969999999</v>
      </c>
      <c r="D133" s="12">
        <f>9833526.97+32788605.1</f>
        <v>42622132.07</v>
      </c>
      <c r="E133" s="6"/>
      <c r="F133" s="30">
        <f t="shared" ref="F133:F182" si="2">D133*100/C133</f>
        <v>100.47145226020568</v>
      </c>
    </row>
    <row r="134" spans="1:6" ht="30" customHeight="1" x14ac:dyDescent="0.25">
      <c r="A134" s="20" t="s">
        <v>240</v>
      </c>
      <c r="B134" s="2" t="s">
        <v>160</v>
      </c>
      <c r="C134" s="22">
        <v>71448795.159999996</v>
      </c>
      <c r="D134" s="12">
        <f>40321430.86+31127364.3</f>
        <v>71448795.159999996</v>
      </c>
      <c r="E134" s="28">
        <v>58000000</v>
      </c>
      <c r="F134" s="30">
        <f t="shared" si="2"/>
        <v>100</v>
      </c>
    </row>
    <row r="135" spans="1:6" ht="30" customHeight="1" x14ac:dyDescent="0.25">
      <c r="A135" s="20" t="s">
        <v>161</v>
      </c>
      <c r="B135" s="2" t="s">
        <v>162</v>
      </c>
      <c r="C135" s="22">
        <v>128669615.73999999</v>
      </c>
      <c r="D135" s="12">
        <f>68589057.09+60080558.65</f>
        <v>128669615.74000001</v>
      </c>
      <c r="E135" s="6"/>
      <c r="F135" s="30">
        <f t="shared" si="2"/>
        <v>100</v>
      </c>
    </row>
    <row r="136" spans="1:6" ht="30" customHeight="1" x14ac:dyDescent="0.25">
      <c r="A136" s="20" t="s">
        <v>239</v>
      </c>
      <c r="B136" s="2" t="s">
        <v>163</v>
      </c>
      <c r="C136" s="22">
        <v>32744495.760000002</v>
      </c>
      <c r="D136" s="13">
        <f>4450000+15360551.37</f>
        <v>19810551.369999997</v>
      </c>
      <c r="E136" s="6"/>
      <c r="F136" s="32">
        <f t="shared" si="2"/>
        <v>60.500401396316988</v>
      </c>
    </row>
    <row r="137" spans="1:6" ht="30" customHeight="1" x14ac:dyDescent="0.25">
      <c r="A137" s="21" t="s">
        <v>238</v>
      </c>
      <c r="B137" s="23" t="s">
        <v>164</v>
      </c>
      <c r="C137" s="6">
        <v>62635153.159999996</v>
      </c>
      <c r="D137" s="12">
        <f>24802880.31+37832272.85</f>
        <v>62635153.159999996</v>
      </c>
      <c r="E137" s="28">
        <v>35000000</v>
      </c>
      <c r="F137" s="30">
        <f t="shared" si="2"/>
        <v>100</v>
      </c>
    </row>
    <row r="138" spans="1:6" ht="30" customHeight="1" x14ac:dyDescent="0.25">
      <c r="A138" s="20" t="s">
        <v>237</v>
      </c>
      <c r="B138" s="2" t="s">
        <v>165</v>
      </c>
      <c r="C138" s="6">
        <v>75382323.040000007</v>
      </c>
      <c r="D138" s="12">
        <f>24216991.89+51165331.15</f>
        <v>75382323.039999992</v>
      </c>
      <c r="E138" s="6"/>
      <c r="F138" s="30">
        <f t="shared" si="2"/>
        <v>99.999999999999972</v>
      </c>
    </row>
    <row r="139" spans="1:6" ht="30" customHeight="1" x14ac:dyDescent="0.25">
      <c r="A139" s="20" t="s">
        <v>166</v>
      </c>
      <c r="B139" s="2" t="s">
        <v>167</v>
      </c>
      <c r="C139" s="22">
        <v>179956682.19999999</v>
      </c>
      <c r="D139" s="12">
        <f>172154632.78+13600000</f>
        <v>185754632.78</v>
      </c>
      <c r="E139" s="6"/>
      <c r="F139" s="30">
        <f t="shared" si="2"/>
        <v>103.22185901024575</v>
      </c>
    </row>
    <row r="140" spans="1:6" ht="30" customHeight="1" x14ac:dyDescent="0.25">
      <c r="A140" s="20" t="s">
        <v>236</v>
      </c>
      <c r="B140" s="2" t="s">
        <v>168</v>
      </c>
      <c r="C140" s="22">
        <v>199952000</v>
      </c>
      <c r="D140" s="12">
        <f>1725467.26+650000</f>
        <v>2375467.2599999998</v>
      </c>
      <c r="E140" s="28">
        <v>25955541.710000001</v>
      </c>
      <c r="F140" s="32">
        <f t="shared" si="2"/>
        <v>1.1880187545010801</v>
      </c>
    </row>
    <row r="141" spans="1:6" ht="30" customHeight="1" x14ac:dyDescent="0.25">
      <c r="A141" s="20" t="s">
        <v>235</v>
      </c>
      <c r="B141" s="2" t="s">
        <v>169</v>
      </c>
      <c r="C141" s="22">
        <v>41770709.460000001</v>
      </c>
      <c r="D141" s="12">
        <f>8050000+29536173.8</f>
        <v>37586173.799999997</v>
      </c>
      <c r="E141" s="6"/>
      <c r="F141" s="31">
        <f t="shared" si="2"/>
        <v>89.982129309996154</v>
      </c>
    </row>
    <row r="142" spans="1:6" ht="30" customHeight="1" x14ac:dyDescent="0.25">
      <c r="A142" s="20" t="s">
        <v>170</v>
      </c>
      <c r="B142" s="2" t="s">
        <v>171</v>
      </c>
      <c r="C142" s="22">
        <v>38381013.729999997</v>
      </c>
      <c r="D142" s="13">
        <f>21181013.73+16950000</f>
        <v>38131013.730000004</v>
      </c>
      <c r="E142" s="6"/>
      <c r="F142" s="30">
        <f t="shared" si="2"/>
        <v>99.348636276887646</v>
      </c>
    </row>
    <row r="143" spans="1:6" ht="30" customHeight="1" x14ac:dyDescent="0.25">
      <c r="A143" s="20" t="s">
        <v>234</v>
      </c>
      <c r="B143" s="2" t="s">
        <v>172</v>
      </c>
      <c r="C143" s="22">
        <v>35097496.310000002</v>
      </c>
      <c r="D143" s="12">
        <f>8401084.96+25943584.39</f>
        <v>34344669.350000001</v>
      </c>
      <c r="E143" s="6"/>
      <c r="F143" s="30">
        <f t="shared" si="2"/>
        <v>97.855040845789603</v>
      </c>
    </row>
    <row r="144" spans="1:6" ht="30" customHeight="1" x14ac:dyDescent="0.25">
      <c r="A144" s="20" t="s">
        <v>233</v>
      </c>
      <c r="B144" s="2" t="s">
        <v>173</v>
      </c>
      <c r="C144" s="22">
        <v>29938607</v>
      </c>
      <c r="D144" s="12">
        <f>6650000+23288607</f>
        <v>29938607</v>
      </c>
      <c r="E144" s="6"/>
      <c r="F144" s="30">
        <f t="shared" si="2"/>
        <v>100</v>
      </c>
    </row>
    <row r="145" spans="1:6" ht="30" customHeight="1" x14ac:dyDescent="0.25">
      <c r="A145" s="20" t="s">
        <v>232</v>
      </c>
      <c r="B145" s="2" t="s">
        <v>174</v>
      </c>
      <c r="C145" s="22">
        <v>37602561.759999998</v>
      </c>
      <c r="D145" s="13">
        <f>15765819+300000</f>
        <v>16065819</v>
      </c>
      <c r="E145" s="6"/>
      <c r="F145" s="32">
        <f t="shared" si="2"/>
        <v>42.725331062656835</v>
      </c>
    </row>
    <row r="146" spans="1:6" ht="30" customHeight="1" x14ac:dyDescent="0.25">
      <c r="A146" s="20" t="s">
        <v>231</v>
      </c>
      <c r="B146" s="2" t="s">
        <v>175</v>
      </c>
      <c r="C146" s="22">
        <v>48586100.359999999</v>
      </c>
      <c r="D146" s="12">
        <f>9200100.36+31032957.17</f>
        <v>40233057.530000001</v>
      </c>
      <c r="E146" s="6"/>
      <c r="F146" s="31">
        <f t="shared" si="2"/>
        <v>82.807752077018108</v>
      </c>
    </row>
    <row r="147" spans="1:6" ht="30" customHeight="1" x14ac:dyDescent="0.25">
      <c r="A147" s="20" t="s">
        <v>337</v>
      </c>
      <c r="B147" s="2" t="s">
        <v>176</v>
      </c>
      <c r="C147" s="45">
        <v>6254187.4299999997</v>
      </c>
      <c r="D147" s="15">
        <v>6146393</v>
      </c>
      <c r="E147" s="6"/>
      <c r="F147" s="30">
        <f t="shared" si="2"/>
        <v>98.276443883294363</v>
      </c>
    </row>
    <row r="148" spans="1:6" ht="30" customHeight="1" x14ac:dyDescent="0.25">
      <c r="A148" s="20" t="s">
        <v>346</v>
      </c>
      <c r="B148" s="2" t="s">
        <v>177</v>
      </c>
      <c r="C148" s="22">
        <v>22888737.09</v>
      </c>
      <c r="D148" s="15">
        <f>29938.16+1927.93</f>
        <v>31866.09</v>
      </c>
      <c r="E148" s="6"/>
      <c r="F148" s="32">
        <f t="shared" si="2"/>
        <v>0.13922170487039309</v>
      </c>
    </row>
    <row r="149" spans="1:6" ht="30" customHeight="1" x14ac:dyDescent="0.25">
      <c r="A149" s="20" t="s">
        <v>178</v>
      </c>
      <c r="B149" s="2" t="s">
        <v>179</v>
      </c>
      <c r="C149" s="6">
        <v>67664171.219999999</v>
      </c>
      <c r="D149" s="15">
        <f>22719127+44945044.22</f>
        <v>67664171.219999999</v>
      </c>
      <c r="E149" s="6"/>
      <c r="F149" s="30">
        <f t="shared" si="2"/>
        <v>100</v>
      </c>
    </row>
    <row r="150" spans="1:6" ht="30" customHeight="1" x14ac:dyDescent="0.25">
      <c r="A150" s="20" t="s">
        <v>180</v>
      </c>
      <c r="B150" s="2" t="s">
        <v>181</v>
      </c>
      <c r="C150" s="6">
        <v>42386791.740000002</v>
      </c>
      <c r="D150" s="15">
        <f>13043598.25+29343193.49</f>
        <v>42386791.739999995</v>
      </c>
      <c r="E150" s="6"/>
      <c r="F150" s="30">
        <f t="shared" si="2"/>
        <v>99.999999999999986</v>
      </c>
    </row>
    <row r="151" spans="1:6" ht="30" customHeight="1" x14ac:dyDescent="0.25">
      <c r="A151" s="20" t="s">
        <v>230</v>
      </c>
      <c r="B151" s="2" t="s">
        <v>182</v>
      </c>
      <c r="C151" s="6">
        <v>30397419</v>
      </c>
      <c r="D151" s="12">
        <f>17156377.86+13366256.59</f>
        <v>30522634.449999999</v>
      </c>
      <c r="E151" s="6"/>
      <c r="F151" s="30">
        <f t="shared" si="2"/>
        <v>100.41192790085238</v>
      </c>
    </row>
    <row r="152" spans="1:6" ht="30" customHeight="1" x14ac:dyDescent="0.25">
      <c r="A152" s="20" t="s">
        <v>229</v>
      </c>
      <c r="B152" s="2" t="s">
        <v>183</v>
      </c>
      <c r="C152" s="22">
        <v>104562766</v>
      </c>
      <c r="D152" s="12">
        <f>106010791.03+32445492.8</f>
        <v>138456283.83000001</v>
      </c>
      <c r="E152" s="6"/>
      <c r="F152" s="30">
        <f t="shared" si="2"/>
        <v>132.41451917023696</v>
      </c>
    </row>
    <row r="153" spans="1:6" ht="30" customHeight="1" x14ac:dyDescent="0.25">
      <c r="A153" s="20" t="s">
        <v>228</v>
      </c>
      <c r="B153" s="2" t="s">
        <v>184</v>
      </c>
      <c r="C153" s="6">
        <v>68725579</v>
      </c>
      <c r="D153" s="13">
        <f>33164101+27800000</f>
        <v>60964101</v>
      </c>
      <c r="E153" s="6"/>
      <c r="F153" s="31">
        <f t="shared" si="2"/>
        <v>88.706565862471678</v>
      </c>
    </row>
    <row r="154" spans="1:6" ht="30" customHeight="1" x14ac:dyDescent="0.25">
      <c r="A154" s="20" t="s">
        <v>227</v>
      </c>
      <c r="B154" s="2" t="s">
        <v>185</v>
      </c>
      <c r="C154" s="6">
        <v>145055911.16999999</v>
      </c>
      <c r="D154" s="8">
        <f>90050000+40933571.57</f>
        <v>130983571.56999999</v>
      </c>
      <c r="E154" s="6"/>
      <c r="F154" s="30">
        <f t="shared" si="2"/>
        <v>90.298678980749884</v>
      </c>
    </row>
    <row r="155" spans="1:6" ht="30" customHeight="1" x14ac:dyDescent="0.25">
      <c r="A155" s="20" t="s">
        <v>226</v>
      </c>
      <c r="B155" s="2" t="s">
        <v>186</v>
      </c>
      <c r="C155" s="6">
        <v>23047455.489999998</v>
      </c>
      <c r="D155" s="12">
        <f>7732546.93+10504907.52</f>
        <v>18237454.449999999</v>
      </c>
      <c r="E155" s="6"/>
      <c r="F155" s="31">
        <f t="shared" si="2"/>
        <v>79.130012672821962</v>
      </c>
    </row>
    <row r="156" spans="1:6" ht="30" customHeight="1" x14ac:dyDescent="0.25">
      <c r="A156" s="20" t="s">
        <v>187</v>
      </c>
      <c r="B156" s="2" t="s">
        <v>188</v>
      </c>
      <c r="C156" s="6">
        <v>33500000</v>
      </c>
      <c r="D156" s="9">
        <f>400000+150000</f>
        <v>550000</v>
      </c>
      <c r="E156" s="6"/>
      <c r="F156" s="32">
        <f t="shared" si="2"/>
        <v>1.6417910447761195</v>
      </c>
    </row>
    <row r="157" spans="1:6" ht="30" customHeight="1" x14ac:dyDescent="0.25">
      <c r="A157" s="20" t="s">
        <v>225</v>
      </c>
      <c r="B157" s="2" t="s">
        <v>189</v>
      </c>
      <c r="C157" s="22">
        <v>339278503.39999998</v>
      </c>
      <c r="D157" s="12">
        <f>166515892.77+158768601.68</f>
        <v>325284494.45000005</v>
      </c>
      <c r="E157" s="6"/>
      <c r="F157" s="30">
        <f t="shared" si="2"/>
        <v>95.875362332195451</v>
      </c>
    </row>
    <row r="158" spans="1:6" ht="30" customHeight="1" x14ac:dyDescent="0.25">
      <c r="A158" s="20" t="s">
        <v>190</v>
      </c>
      <c r="B158" s="2" t="s">
        <v>191</v>
      </c>
      <c r="C158" s="22">
        <v>122217772.23</v>
      </c>
      <c r="D158" s="12">
        <f>112797122.42+2500000</f>
        <v>115297122.42</v>
      </c>
      <c r="E158" s="6"/>
      <c r="F158" s="30">
        <f t="shared" si="2"/>
        <v>94.337443987298244</v>
      </c>
    </row>
    <row r="159" spans="1:6" ht="30" customHeight="1" x14ac:dyDescent="0.25">
      <c r="A159" s="21" t="s">
        <v>224</v>
      </c>
      <c r="B159" s="23" t="s">
        <v>192</v>
      </c>
      <c r="C159" s="22">
        <v>194661686.53</v>
      </c>
      <c r="D159" s="12">
        <f>22442204.18+5720542.67</f>
        <v>28162746.850000001</v>
      </c>
      <c r="E159" s="22">
        <v>149378819.75999999</v>
      </c>
      <c r="F159" s="32">
        <f t="shared" si="2"/>
        <v>14.467534599141439</v>
      </c>
    </row>
    <row r="160" spans="1:6" ht="30" customHeight="1" x14ac:dyDescent="0.25">
      <c r="A160" s="20" t="s">
        <v>193</v>
      </c>
      <c r="B160" s="2" t="s">
        <v>194</v>
      </c>
      <c r="C160" s="22">
        <v>194661686.53</v>
      </c>
      <c r="D160" s="12">
        <f>152659897.45+7300000</f>
        <v>159959897.44999999</v>
      </c>
      <c r="E160" s="28"/>
      <c r="F160" s="31">
        <f t="shared" si="2"/>
        <v>82.173282427278252</v>
      </c>
    </row>
    <row r="161" spans="1:6" ht="30" customHeight="1" x14ac:dyDescent="0.25">
      <c r="A161" s="20" t="s">
        <v>223</v>
      </c>
      <c r="B161" s="2" t="s">
        <v>195</v>
      </c>
      <c r="C161" s="22">
        <v>81493500.340000004</v>
      </c>
      <c r="D161" s="13">
        <f>43087552.25+43500849.31</f>
        <v>86588401.560000002</v>
      </c>
      <c r="E161" s="6"/>
      <c r="F161" s="30">
        <f t="shared" si="2"/>
        <v>106.25191113247499</v>
      </c>
    </row>
    <row r="162" spans="1:6" ht="30" customHeight="1" x14ac:dyDescent="0.25">
      <c r="A162" s="20" t="s">
        <v>222</v>
      </c>
      <c r="B162" s="2" t="s">
        <v>196</v>
      </c>
      <c r="C162" s="22">
        <v>54873966.729999997</v>
      </c>
      <c r="D162" s="13">
        <f>16823074.53+20766434.45</f>
        <v>37589508.980000004</v>
      </c>
      <c r="E162" s="6"/>
      <c r="F162" s="32">
        <f t="shared" si="2"/>
        <v>68.501534006014452</v>
      </c>
    </row>
    <row r="163" spans="1:6" ht="30" customHeight="1" x14ac:dyDescent="0.25">
      <c r="A163" s="20" t="s">
        <v>197</v>
      </c>
      <c r="B163" s="2" t="s">
        <v>198</v>
      </c>
      <c r="C163" s="22">
        <v>210972285</v>
      </c>
      <c r="D163" s="13">
        <f>173502284.7+4100000</f>
        <v>177602284.69999999</v>
      </c>
      <c r="E163" s="6"/>
      <c r="F163" s="31">
        <f t="shared" si="2"/>
        <v>84.182756374847997</v>
      </c>
    </row>
    <row r="164" spans="1:6" ht="30" customHeight="1" x14ac:dyDescent="0.25">
      <c r="A164" s="20" t="s">
        <v>221</v>
      </c>
      <c r="B164" s="2" t="s">
        <v>199</v>
      </c>
      <c r="C164" s="22">
        <v>166048697.03999999</v>
      </c>
      <c r="D164" s="12">
        <f>68208827.75+94739869.29</f>
        <v>162948697.04000002</v>
      </c>
      <c r="E164" s="6"/>
      <c r="F164" s="30">
        <f t="shared" si="2"/>
        <v>98.133077792683196</v>
      </c>
    </row>
    <row r="165" spans="1:6" ht="30" customHeight="1" x14ac:dyDescent="0.25">
      <c r="A165" s="20" t="s">
        <v>200</v>
      </c>
      <c r="B165" s="2" t="s">
        <v>201</v>
      </c>
      <c r="C165" s="22">
        <v>125250000</v>
      </c>
      <c r="D165" s="12">
        <f>64940211.56+1700000</f>
        <v>66640211.560000002</v>
      </c>
      <c r="E165" s="6"/>
      <c r="F165" s="32">
        <f t="shared" si="2"/>
        <v>53.205757732534927</v>
      </c>
    </row>
    <row r="166" spans="1:6" ht="30" customHeight="1" x14ac:dyDescent="0.25">
      <c r="A166" s="20" t="s">
        <v>220</v>
      </c>
      <c r="B166" s="2" t="s">
        <v>202</v>
      </c>
      <c r="C166" s="22">
        <v>133399701.06</v>
      </c>
      <c r="D166" s="12">
        <f>73938494.18+6250000</f>
        <v>80188494.180000007</v>
      </c>
      <c r="E166" s="6"/>
      <c r="F166" s="32">
        <f t="shared" si="2"/>
        <v>60.111449683034252</v>
      </c>
    </row>
    <row r="167" spans="1:6" ht="30" customHeight="1" x14ac:dyDescent="0.25">
      <c r="A167" s="20" t="s">
        <v>219</v>
      </c>
      <c r="B167" s="2" t="s">
        <v>203</v>
      </c>
      <c r="C167" s="22">
        <v>77581790.450000003</v>
      </c>
      <c r="D167" s="12">
        <f>47715057.19+37403828.03</f>
        <v>85118885.219999999</v>
      </c>
      <c r="E167" s="6"/>
      <c r="F167" s="30">
        <f>D167*100/C167</f>
        <v>109.7150307131124</v>
      </c>
    </row>
    <row r="168" spans="1:6" ht="30" customHeight="1" x14ac:dyDescent="0.25">
      <c r="A168" s="21" t="s">
        <v>218</v>
      </c>
      <c r="B168" s="23" t="s">
        <v>204</v>
      </c>
      <c r="C168" s="6">
        <v>36831389.850000001</v>
      </c>
      <c r="D168" s="12">
        <v>5289510.13</v>
      </c>
      <c r="E168" s="22">
        <v>29088546.300000001</v>
      </c>
      <c r="F168" s="32">
        <f t="shared" si="2"/>
        <v>14.361418755963671</v>
      </c>
    </row>
    <row r="169" spans="1:6" ht="30" customHeight="1" x14ac:dyDescent="0.25">
      <c r="A169" s="20" t="s">
        <v>217</v>
      </c>
      <c r="B169" s="2" t="s">
        <v>205</v>
      </c>
      <c r="C169" s="22">
        <v>122619319.39</v>
      </c>
      <c r="D169" s="12">
        <f>28457500+32936298.12</f>
        <v>61393798.120000005</v>
      </c>
      <c r="E169" s="28"/>
      <c r="F169" s="32">
        <f t="shared" si="2"/>
        <v>50.068617592577226</v>
      </c>
    </row>
    <row r="170" spans="1:6" ht="30" customHeight="1" x14ac:dyDescent="0.25">
      <c r="A170" s="20" t="s">
        <v>214</v>
      </c>
      <c r="B170" s="2" t="s">
        <v>206</v>
      </c>
      <c r="C170" s="22">
        <v>15950000</v>
      </c>
      <c r="D170" s="12">
        <f>10150000+5800000</f>
        <v>15950000</v>
      </c>
      <c r="E170" s="6"/>
      <c r="F170" s="30">
        <f t="shared" si="2"/>
        <v>100</v>
      </c>
    </row>
    <row r="171" spans="1:6" ht="30" customHeight="1" x14ac:dyDescent="0.25">
      <c r="A171" s="20" t="s">
        <v>213</v>
      </c>
      <c r="B171" s="2" t="s">
        <v>207</v>
      </c>
      <c r="C171" s="22">
        <v>23678538.690000001</v>
      </c>
      <c r="D171" s="12">
        <f>8950000+14778538.69</f>
        <v>23728538.689999998</v>
      </c>
      <c r="E171" s="6"/>
      <c r="F171" s="30">
        <f t="shared" si="2"/>
        <v>100.21116167958927</v>
      </c>
    </row>
    <row r="172" spans="1:6" ht="30" customHeight="1" x14ac:dyDescent="0.25">
      <c r="A172" s="20" t="s">
        <v>215</v>
      </c>
      <c r="B172" s="2" t="s">
        <v>208</v>
      </c>
      <c r="C172" s="45">
        <v>30200000</v>
      </c>
      <c r="D172" s="12">
        <f>13000000+14800000</f>
        <v>27800000</v>
      </c>
      <c r="E172" s="6"/>
      <c r="F172" s="30">
        <f t="shared" si="2"/>
        <v>92.05298013245033</v>
      </c>
    </row>
    <row r="173" spans="1:6" ht="30" customHeight="1" x14ac:dyDescent="0.25">
      <c r="A173" s="20" t="s">
        <v>209</v>
      </c>
      <c r="B173" s="2" t="s">
        <v>210</v>
      </c>
      <c r="C173" s="29">
        <v>38068594.710000001</v>
      </c>
      <c r="D173" s="12">
        <f>11452479.99</f>
        <v>11452479.99</v>
      </c>
      <c r="E173" s="6"/>
      <c r="F173" s="32">
        <f t="shared" si="2"/>
        <v>30.083800248585536</v>
      </c>
    </row>
    <row r="174" spans="1:6" ht="30" customHeight="1" x14ac:dyDescent="0.25">
      <c r="A174" s="21" t="s">
        <v>212</v>
      </c>
      <c r="B174" s="23" t="s">
        <v>211</v>
      </c>
      <c r="C174" s="22">
        <v>33600000</v>
      </c>
      <c r="D174" s="13">
        <v>0</v>
      </c>
      <c r="E174" s="22">
        <v>27864043.829999998</v>
      </c>
      <c r="F174" s="32">
        <f t="shared" si="2"/>
        <v>0</v>
      </c>
    </row>
    <row r="175" spans="1:6" ht="30" customHeight="1" x14ac:dyDescent="0.25">
      <c r="A175" s="36" t="s">
        <v>339</v>
      </c>
      <c r="B175" s="2" t="s">
        <v>340</v>
      </c>
      <c r="C175" s="22">
        <v>14026000</v>
      </c>
      <c r="D175" s="15">
        <f>8726000+5300000</f>
        <v>14026000</v>
      </c>
      <c r="E175" s="6"/>
      <c r="F175" s="30">
        <f t="shared" si="2"/>
        <v>100</v>
      </c>
    </row>
    <row r="176" spans="1:6" ht="30" customHeight="1" x14ac:dyDescent="0.25">
      <c r="A176" s="46" t="s">
        <v>342</v>
      </c>
      <c r="B176" s="47" t="s">
        <v>343</v>
      </c>
      <c r="C176" s="22"/>
      <c r="D176" s="15"/>
      <c r="E176" s="22"/>
      <c r="F176" s="33"/>
    </row>
    <row r="177" spans="1:6" ht="30" customHeight="1" x14ac:dyDescent="0.25">
      <c r="A177" s="46" t="s">
        <v>344</v>
      </c>
      <c r="B177" s="47" t="s">
        <v>345</v>
      </c>
      <c r="C177" s="22"/>
      <c r="D177" s="15"/>
      <c r="E177" s="22"/>
      <c r="F177" s="33"/>
    </row>
    <row r="178" spans="1:6" ht="30" customHeight="1" x14ac:dyDescent="0.25">
      <c r="A178" s="37" t="s">
        <v>347</v>
      </c>
      <c r="B178" s="38" t="s">
        <v>348</v>
      </c>
      <c r="C178" s="22"/>
      <c r="D178" s="15"/>
      <c r="E178" s="22"/>
      <c r="F178" s="33"/>
    </row>
    <row r="179" spans="1:6" ht="30" customHeight="1" x14ac:dyDescent="0.25">
      <c r="A179" s="37" t="s">
        <v>349</v>
      </c>
      <c r="B179" s="34" t="s">
        <v>350</v>
      </c>
      <c r="C179" s="22"/>
      <c r="D179" s="15"/>
      <c r="E179" s="22"/>
      <c r="F179" s="33"/>
    </row>
    <row r="180" spans="1:6" ht="30" customHeight="1" x14ac:dyDescent="0.25">
      <c r="A180" s="37" t="s">
        <v>351</v>
      </c>
      <c r="B180" s="35" t="s">
        <v>352</v>
      </c>
      <c r="C180" s="22"/>
      <c r="D180" s="15"/>
      <c r="E180" s="22"/>
      <c r="F180" s="33"/>
    </row>
    <row r="181" spans="1:6" ht="30" customHeight="1" x14ac:dyDescent="0.25">
      <c r="A181" s="39" t="s">
        <v>353</v>
      </c>
      <c r="B181" s="40" t="s">
        <v>354</v>
      </c>
      <c r="C181" s="22"/>
      <c r="D181" s="15"/>
      <c r="E181" s="22"/>
      <c r="F181" s="33"/>
    </row>
    <row r="182" spans="1:6" ht="30" customHeight="1" x14ac:dyDescent="0.25">
      <c r="A182" s="20"/>
      <c r="B182" s="2"/>
      <c r="C182" s="6">
        <f>SUM(C8:C177)</f>
        <v>14000655738.99</v>
      </c>
      <c r="D182" s="13">
        <f>SUM(D8:D177)</f>
        <v>12370041312.470009</v>
      </c>
      <c r="E182" s="22">
        <f>SUM(E35:E181)</f>
        <v>1522217506.9000001</v>
      </c>
      <c r="F182" s="33">
        <f t="shared" si="2"/>
        <v>88.353299610253671</v>
      </c>
    </row>
    <row r="183" spans="1:6" ht="30" customHeight="1" x14ac:dyDescent="0.25">
      <c r="A183" s="19"/>
      <c r="B183" s="7"/>
      <c r="C183" s="6"/>
      <c r="D183" s="12"/>
      <c r="E183" s="6"/>
      <c r="F183" s="24"/>
    </row>
    <row r="184" spans="1:6" ht="30" customHeight="1" x14ac:dyDescent="0.25">
      <c r="A184" s="20"/>
      <c r="B184" s="2"/>
      <c r="C184" s="6"/>
      <c r="D184" s="13"/>
      <c r="E184" s="6"/>
      <c r="F184" s="26"/>
    </row>
    <row r="185" spans="1:6" ht="30" customHeight="1" x14ac:dyDescent="0.25">
      <c r="A185" s="19"/>
      <c r="B185" s="7"/>
      <c r="C185" s="6"/>
      <c r="D185" s="12"/>
      <c r="E185" s="6"/>
      <c r="F185" s="26"/>
    </row>
    <row r="186" spans="1:6" ht="30" customHeight="1" x14ac:dyDescent="0.25">
      <c r="A186" s="19"/>
      <c r="B186" s="7"/>
      <c r="C186" s="6"/>
      <c r="D186" s="12"/>
      <c r="E186" s="6"/>
      <c r="F186" s="26"/>
    </row>
    <row r="187" spans="1:6" ht="30" customHeight="1" x14ac:dyDescent="0.25">
      <c r="A187" s="20"/>
      <c r="B187" s="2"/>
      <c r="C187" s="6"/>
      <c r="D187" s="13"/>
      <c r="E187" s="6"/>
      <c r="F187" s="26"/>
    </row>
    <row r="188" spans="1:6" ht="30" customHeight="1" x14ac:dyDescent="0.25">
      <c r="A188" s="19"/>
      <c r="B188" s="7"/>
      <c r="C188" s="6"/>
      <c r="D188" s="12"/>
      <c r="E188" s="6"/>
      <c r="F188" s="26"/>
    </row>
    <row r="189" spans="1:6" ht="30" customHeight="1" x14ac:dyDescent="0.25">
      <c r="A189" s="19"/>
      <c r="B189" s="7"/>
      <c r="C189" s="6"/>
      <c r="D189" s="13"/>
      <c r="E189" s="6"/>
      <c r="F189" s="26"/>
    </row>
    <row r="190" spans="1:6" ht="30" customHeight="1" x14ac:dyDescent="0.25">
      <c r="A190" s="19"/>
      <c r="B190" s="7"/>
      <c r="C190" s="6"/>
      <c r="D190" s="12"/>
      <c r="E190" s="6"/>
      <c r="F190" s="26"/>
    </row>
    <row r="191" spans="1:6" ht="30" customHeight="1" x14ac:dyDescent="0.25">
      <c r="A191" s="19"/>
      <c r="B191" s="7"/>
      <c r="C191" s="6"/>
      <c r="D191" s="12"/>
      <c r="E191" s="6"/>
      <c r="F191" s="26"/>
    </row>
    <row r="192" spans="1:6" ht="30" customHeight="1" x14ac:dyDescent="0.25">
      <c r="A192" s="20"/>
      <c r="B192" s="2"/>
      <c r="C192" s="6"/>
      <c r="D192" s="13"/>
      <c r="E192" s="6"/>
      <c r="F192" s="26"/>
    </row>
    <row r="193" spans="1:6" ht="30" customHeight="1" x14ac:dyDescent="0.25">
      <c r="A193" s="20"/>
      <c r="B193" s="2"/>
      <c r="C193" s="6"/>
      <c r="D193" s="12"/>
      <c r="E193" s="6"/>
      <c r="F193" s="26"/>
    </row>
    <row r="194" spans="1:6" ht="30" customHeight="1" x14ac:dyDescent="0.25">
      <c r="A194" s="19"/>
      <c r="B194" s="7"/>
      <c r="C194" s="6"/>
      <c r="D194" s="12"/>
      <c r="E194" s="6"/>
      <c r="F194" s="26"/>
    </row>
    <row r="195" spans="1:6" ht="30" customHeight="1" x14ac:dyDescent="0.25">
      <c r="A195" s="19"/>
      <c r="B195" s="7"/>
      <c r="C195" s="6"/>
      <c r="D195" s="12"/>
      <c r="E195" s="6"/>
      <c r="F195" s="26"/>
    </row>
    <row r="196" spans="1:6" ht="30" customHeight="1" x14ac:dyDescent="0.25">
      <c r="A196" s="20"/>
      <c r="B196" s="2"/>
      <c r="C196" s="6"/>
      <c r="D196" s="12"/>
      <c r="E196" s="6"/>
      <c r="F196" s="26"/>
    </row>
    <row r="197" spans="1:6" ht="30" customHeight="1" x14ac:dyDescent="0.25">
      <c r="A197" s="19"/>
      <c r="B197" s="7"/>
      <c r="C197" s="6"/>
      <c r="D197" s="12"/>
      <c r="E197" s="6"/>
      <c r="F197" s="26"/>
    </row>
    <row r="198" spans="1:6" ht="30" customHeight="1" x14ac:dyDescent="0.25">
      <c r="A198" s="19"/>
      <c r="B198" s="7"/>
      <c r="C198" s="6"/>
      <c r="D198" s="12"/>
      <c r="E198" s="6"/>
      <c r="F198" s="26"/>
    </row>
    <row r="199" spans="1:6" ht="30" customHeight="1" x14ac:dyDescent="0.25">
      <c r="A199" s="20"/>
      <c r="B199" s="2"/>
      <c r="C199" s="6"/>
      <c r="D199" s="13"/>
      <c r="E199" s="6"/>
      <c r="F199" s="26"/>
    </row>
    <row r="200" spans="1:6" ht="30" customHeight="1" x14ac:dyDescent="0.25">
      <c r="A200" s="19"/>
      <c r="B200" s="7"/>
      <c r="C200" s="6"/>
      <c r="D200" s="12"/>
      <c r="E200" s="6"/>
      <c r="F200" s="26"/>
    </row>
    <row r="201" spans="1:6" ht="30" customHeight="1" x14ac:dyDescent="0.25">
      <c r="A201" s="20"/>
      <c r="B201" s="2"/>
      <c r="C201" s="6"/>
      <c r="D201" s="12"/>
      <c r="E201" s="6"/>
      <c r="F201" s="26"/>
    </row>
    <row r="202" spans="1:6" ht="30" customHeight="1" x14ac:dyDescent="0.25">
      <c r="A202" s="20"/>
      <c r="B202" s="2"/>
      <c r="C202" s="6"/>
      <c r="D202" s="12"/>
      <c r="E202" s="6"/>
      <c r="F202" s="26"/>
    </row>
    <row r="203" spans="1:6" ht="30" customHeight="1" x14ac:dyDescent="0.25">
      <c r="A203" s="19"/>
      <c r="B203" s="7"/>
      <c r="C203" s="6"/>
      <c r="D203" s="12"/>
      <c r="E203" s="6"/>
      <c r="F203" s="26"/>
    </row>
    <row r="204" spans="1:6" ht="30" customHeight="1" x14ac:dyDescent="0.25">
      <c r="A204" s="19"/>
      <c r="B204" s="7"/>
      <c r="C204" s="6"/>
      <c r="D204" s="12"/>
      <c r="E204" s="6"/>
      <c r="F204" s="26"/>
    </row>
    <row r="205" spans="1:6" ht="30" customHeight="1" x14ac:dyDescent="0.25">
      <c r="A205" s="20"/>
      <c r="B205" s="2"/>
      <c r="C205" s="6"/>
      <c r="D205" s="13"/>
      <c r="E205" s="6"/>
      <c r="F205" s="26"/>
    </row>
    <row r="206" spans="1:6" ht="30" customHeight="1" x14ac:dyDescent="0.25">
      <c r="A206" s="19"/>
      <c r="B206" s="7"/>
      <c r="C206" s="6"/>
      <c r="D206" s="12"/>
      <c r="E206" s="6"/>
      <c r="F206" s="26"/>
    </row>
    <row r="207" spans="1:6" ht="30" customHeight="1" x14ac:dyDescent="0.25">
      <c r="A207" s="20"/>
      <c r="B207" s="2"/>
      <c r="C207" s="6"/>
      <c r="D207" s="13"/>
      <c r="E207" s="6"/>
      <c r="F207" s="26"/>
    </row>
    <row r="208" spans="1:6" ht="30" customHeight="1" x14ac:dyDescent="0.25">
      <c r="A208" s="20"/>
      <c r="B208" s="2"/>
      <c r="C208" s="6"/>
      <c r="D208" s="13"/>
      <c r="E208" s="6"/>
      <c r="F208" s="26"/>
    </row>
    <row r="209" spans="1:6" ht="30" customHeight="1" x14ac:dyDescent="0.25">
      <c r="A209" s="19"/>
      <c r="B209" s="7"/>
      <c r="C209" s="6"/>
      <c r="D209" s="12"/>
      <c r="E209" s="6"/>
      <c r="F209" s="26"/>
    </row>
    <row r="210" spans="1:6" ht="30" customHeight="1" x14ac:dyDescent="0.25">
      <c r="A210" s="19"/>
      <c r="B210" s="7"/>
      <c r="C210" s="6"/>
      <c r="D210" s="12"/>
      <c r="E210" s="6"/>
      <c r="F210" s="26"/>
    </row>
    <row r="211" spans="1:6" ht="30" customHeight="1" x14ac:dyDescent="0.25">
      <c r="A211" s="19"/>
      <c r="B211" s="7"/>
      <c r="C211" s="6"/>
      <c r="D211" s="12"/>
      <c r="E211" s="6"/>
      <c r="F211" s="26"/>
    </row>
    <row r="212" spans="1:6" ht="30" customHeight="1" x14ac:dyDescent="0.25">
      <c r="A212" s="20"/>
      <c r="B212" s="2"/>
      <c r="C212" s="6"/>
      <c r="D212" s="13"/>
      <c r="E212" s="6"/>
      <c r="F212" s="26"/>
    </row>
    <row r="213" spans="1:6" ht="30" customHeight="1" x14ac:dyDescent="0.25">
      <c r="A213" s="20"/>
      <c r="B213" s="2"/>
      <c r="C213" s="6"/>
      <c r="D213" s="13"/>
      <c r="E213" s="6"/>
      <c r="F213" s="26"/>
    </row>
    <row r="214" spans="1:6" ht="30" customHeight="1" x14ac:dyDescent="0.25">
      <c r="A214" s="19"/>
      <c r="B214" s="7"/>
      <c r="C214" s="6"/>
      <c r="D214" s="12"/>
      <c r="E214" s="6"/>
      <c r="F214" s="26"/>
    </row>
    <row r="215" spans="1:6" ht="30" customHeight="1" x14ac:dyDescent="0.25">
      <c r="A215" s="20"/>
      <c r="B215" s="2"/>
      <c r="C215" s="6"/>
      <c r="D215" s="13"/>
      <c r="E215" s="6"/>
      <c r="F215" s="26"/>
    </row>
    <row r="216" spans="1:6" ht="30" customHeight="1" x14ac:dyDescent="0.25">
      <c r="A216" s="20"/>
      <c r="B216" s="4"/>
      <c r="C216" s="6"/>
      <c r="D216" s="13"/>
      <c r="E216" s="6"/>
      <c r="F216" s="26"/>
    </row>
    <row r="217" spans="1:6" ht="30" customHeight="1" x14ac:dyDescent="0.25">
      <c r="A217" s="19"/>
      <c r="B217" s="5"/>
      <c r="C217" s="6"/>
      <c r="D217" s="12"/>
      <c r="E217" s="6"/>
      <c r="F217" s="26"/>
    </row>
    <row r="218" spans="1:6" ht="30" customHeight="1" x14ac:dyDescent="0.25">
      <c r="A218" s="19"/>
      <c r="B218" s="5"/>
      <c r="C218" s="6"/>
      <c r="D218" s="12"/>
      <c r="E218" s="6"/>
      <c r="F218" s="26"/>
    </row>
    <row r="219" spans="1:6" ht="30" customHeight="1" x14ac:dyDescent="0.25">
      <c r="A219" s="19"/>
      <c r="B219" s="5"/>
      <c r="C219" s="6"/>
      <c r="D219" s="12"/>
      <c r="E219" s="6"/>
      <c r="F219" s="26"/>
    </row>
    <row r="220" spans="1:6" ht="30" customHeight="1" x14ac:dyDescent="0.25">
      <c r="A220" s="19"/>
      <c r="B220" s="5"/>
      <c r="C220" s="6"/>
      <c r="D220" s="12"/>
      <c r="E220" s="6"/>
      <c r="F220" s="26"/>
    </row>
    <row r="221" spans="1:6" ht="30" customHeight="1" x14ac:dyDescent="0.25">
      <c r="A221" s="19"/>
      <c r="B221" s="5"/>
      <c r="C221" s="6"/>
      <c r="D221" s="12"/>
      <c r="E221" s="6"/>
      <c r="F221" s="26"/>
    </row>
    <row r="222" spans="1:6" ht="30" customHeight="1" x14ac:dyDescent="0.25">
      <c r="A222" s="19"/>
      <c r="B222" s="5"/>
      <c r="C222" s="6"/>
      <c r="D222" s="12"/>
      <c r="E222" s="6"/>
      <c r="F222" s="26"/>
    </row>
    <row r="223" spans="1:6" ht="30" customHeight="1" x14ac:dyDescent="0.25">
      <c r="A223" s="19"/>
      <c r="B223" s="5"/>
      <c r="C223" s="6"/>
      <c r="D223" s="12"/>
      <c r="E223" s="6"/>
      <c r="F223" s="26"/>
    </row>
    <row r="224" spans="1:6" ht="30" customHeight="1" x14ac:dyDescent="0.25">
      <c r="A224" s="19"/>
      <c r="B224" s="5"/>
      <c r="C224" s="6"/>
      <c r="D224" s="12"/>
      <c r="E224" s="6"/>
      <c r="F224" s="26"/>
    </row>
    <row r="225" spans="1:6" ht="30" customHeight="1" x14ac:dyDescent="0.25">
      <c r="A225" s="20" t="s">
        <v>2</v>
      </c>
      <c r="B225" s="2"/>
      <c r="C225" s="18"/>
      <c r="D225" s="13"/>
      <c r="E225" s="6"/>
      <c r="F225" s="26"/>
    </row>
    <row r="226" spans="1:6" ht="30" customHeight="1" x14ac:dyDescent="0.25">
      <c r="E226" s="18"/>
      <c r="F226" s="25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2018-06-09T13:04:40Z</dcterms:modified>
</cp:coreProperties>
</file>